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244" activeTab="0"/>
  </bookViews>
  <sheets>
    <sheet name="【時系列】全体計画例別葉5年" sheetId="1" r:id="rId1"/>
    <sheet name="【時系列】発行者別一覧" sheetId="2" r:id="rId2"/>
    <sheet name="内容項目名" sheetId="3" r:id="rId3"/>
    <sheet name="ご利用の留意点" sheetId="4" r:id="rId4"/>
  </sheets>
  <externalReferences>
    <externalReference r:id="rId7"/>
  </externalReferences>
  <definedNames>
    <definedName name="_xlnm.Print_Area" localSheetId="0">'【時系列】全体計画例別葉5年'!$A$1:$O$23</definedName>
    <definedName name="_xlnm.Print_Titles" localSheetId="1">'【時系列】発行者別一覧'!$1:$1</definedName>
    <definedName name="英語">'【時系列】発行者別一覧'!$B$21:$N$27</definedName>
    <definedName name="音楽" localSheetId="2">'[1]【新内容項目別】発行者別一覧5年'!$V$9:$W$31</definedName>
    <definedName name="音楽">'【時系列】発行者別一覧'!$B$28:$N$29</definedName>
    <definedName name="家庭" localSheetId="2">'[1]【新内容項目別】発行者別一覧5年'!$Z$9:$AA$31</definedName>
    <definedName name="家庭">'【時系列】発行者別一覧'!$B$32:$N$33</definedName>
    <definedName name="国語" localSheetId="2">'[1]【新内容項目別】発行者別一覧5年'!$B$9:$F$31</definedName>
    <definedName name="国語">'【時系列】発行者別一覧'!$B$3:$N$6</definedName>
    <definedName name="算数" localSheetId="2">'[1]【新内容項目別】発行者別一覧5年'!$K$9:$P$31</definedName>
    <definedName name="算数">'【時系列】発行者別一覧'!$B$10:$N$15</definedName>
    <definedName name="社会" localSheetId="2">'[1]【新内容項目別】発行者別一覧5年'!$G$9:$J$31</definedName>
    <definedName name="社会">'【時系列】発行者別一覧'!$B$7:$N$9</definedName>
    <definedName name="図画工作" localSheetId="2">'[1]【新内容項目別】発行者別一覧5年'!$X$9:$Y$31</definedName>
    <definedName name="図画工作">'【時系列】発行者別一覧'!$B$30:$N$31</definedName>
    <definedName name="保健" localSheetId="2">'[1]【新内容項目別】発行者別一覧5年'!$AC$9:$AF$31</definedName>
    <definedName name="保健">'【時系列】発行者別一覧'!$B$35:$N$38</definedName>
    <definedName name="理科" localSheetId="2">'[1]【新内容項目別】発行者別一覧5年'!$Q$9:$U$31</definedName>
    <definedName name="理科">'【時系列】発行者別一覧'!$B$16:$N$20</definedName>
  </definedNames>
  <calcPr fullCalcOnLoad="1"/>
</workbook>
</file>

<file path=xl/sharedStrings.xml><?xml version="1.0" encoding="utf-8"?>
<sst xmlns="http://schemas.openxmlformats.org/spreadsheetml/2006/main" count="673" uniqueCount="498">
  <si>
    <t>算数</t>
  </si>
  <si>
    <t>教育芸術社</t>
  </si>
  <si>
    <t>体育</t>
  </si>
  <si>
    <t>道徳</t>
  </si>
  <si>
    <t>国語</t>
  </si>
  <si>
    <t>東京書籍</t>
  </si>
  <si>
    <t>学校図書</t>
  </si>
  <si>
    <t>教育出版</t>
  </si>
  <si>
    <t>光村図書</t>
  </si>
  <si>
    <t>社会</t>
  </si>
  <si>
    <t>大日本図書</t>
  </si>
  <si>
    <t>啓林館</t>
  </si>
  <si>
    <t>日本文教出版</t>
  </si>
  <si>
    <t>理科</t>
  </si>
  <si>
    <t>音楽</t>
  </si>
  <si>
    <t>図画工作</t>
  </si>
  <si>
    <t>開隆堂</t>
  </si>
  <si>
    <t>家庭</t>
  </si>
  <si>
    <t>東京書籍</t>
  </si>
  <si>
    <t>光文書院</t>
  </si>
  <si>
    <t>保健</t>
  </si>
  <si>
    <t>光文書院</t>
  </si>
  <si>
    <t>日本文教出版</t>
  </si>
  <si>
    <t>学研教育みらい</t>
  </si>
  <si>
    <t>学年の重点課題</t>
  </si>
  <si>
    <t>課題の内容</t>
  </si>
  <si>
    <t>法やきまりの意義を理解する</t>
  </si>
  <si>
    <t>相手の立場を理解し，支え合う態度を身に付ける</t>
  </si>
  <si>
    <t>集団における役割と責任を果たし，国家・社会の一員としての自覚をもつ</t>
  </si>
  <si>
    <t>４月</t>
  </si>
  <si>
    <t>５月</t>
  </si>
  <si>
    <t>６月</t>
  </si>
  <si>
    <t>７月</t>
  </si>
  <si>
    <t>９月</t>
  </si>
  <si>
    <t>10月</t>
  </si>
  <si>
    <t>11月</t>
  </si>
  <si>
    <t>12月</t>
  </si>
  <si>
    <t>１月</t>
  </si>
  <si>
    <t>２月</t>
  </si>
  <si>
    <t>３月</t>
  </si>
  <si>
    <t>道徳</t>
  </si>
  <si>
    <t>光文書院</t>
  </si>
  <si>
    <t>学校行事</t>
  </si>
  <si>
    <t>始業式
入学式
1年生を迎える会</t>
  </si>
  <si>
    <t>遠足
運動会</t>
  </si>
  <si>
    <t>修学旅行
プール開き</t>
  </si>
  <si>
    <t>防犯教室
終業式</t>
  </si>
  <si>
    <t>音楽会
マラソン大会</t>
  </si>
  <si>
    <t>参観日
宿泊学習</t>
  </si>
  <si>
    <t>終業式</t>
  </si>
  <si>
    <t>始業式
避難訓練</t>
  </si>
  <si>
    <t>スケート大会
参観日
6年生を送る会</t>
  </si>
  <si>
    <t>卒業証書授与式
修了式
離任式</t>
  </si>
  <si>
    <t>特別活動</t>
  </si>
  <si>
    <t>学級活動</t>
  </si>
  <si>
    <t>クラブ，児童会，委員会</t>
  </si>
  <si>
    <t>教科</t>
  </si>
  <si>
    <t>国語</t>
  </si>
  <si>
    <t>社会</t>
  </si>
  <si>
    <t>理科</t>
  </si>
  <si>
    <t>音楽</t>
  </si>
  <si>
    <t>図画工作</t>
  </si>
  <si>
    <t>家庭</t>
  </si>
  <si>
    <t>体育</t>
  </si>
  <si>
    <t>保健</t>
  </si>
  <si>
    <t>総合的な学習の時間</t>
  </si>
  <si>
    <t>地域・家庭との連携</t>
  </si>
  <si>
    <t>光文書院</t>
  </si>
  <si>
    <t xml:space="preserve"> </t>
  </si>
  <si>
    <t>始業式
宿泊学習
陸上競技会
避難訓練</t>
  </si>
  <si>
    <t>付録</t>
  </si>
  <si>
    <t>●帰ってきた，はやぶさ
Ａ 真理の探究
●一枚の写真から 
Ｄ 生命の尊さ
●ひみつのトレーニング
Ａ 節度，節制</t>
  </si>
  <si>
    <t>●シンボルマークにこめられたものは
Ｃ 伝統と文化の尊重，国や郷土を愛する態度
●助け合い傘
Ｂ 感謝
●氷上の挑戦 ―浅田真央―
Ａ 希望と勇気，努力と強い意志
●まかせてみようよ
Ｂ 相互理解，寛容</t>
  </si>
  <si>
    <t>●ドッジボールを百倍楽しくする方法
Ｂ 友情，信頼
● 「スイミー作戦」「ガンジー作戦」
Ｃ 公正，公平，社会正義
●短所も長所
Ａ 個性の伸長
●セルフジャッジ
Ｃ 規則の尊重</t>
  </si>
  <si>
    <t>●世界の文化遺産
Ｃ 伝統と文化の尊重，国や郷土を愛する態度
●家族の紹介
Ｃ 家族愛，家庭生活の充実
●変えたもの・変えなかったもの ―内川聖一―
Ａ 個性の伸長
●星が光った
Ｄ 感動，畏敬の念</t>
  </si>
  <si>
    <t>●藤井駅のホームでのできごと
Ｂ 親切，思いやり
●自然を守るエゾリス
Ｄ 自然愛護</t>
  </si>
  <si>
    <t>●ふるさと ―六年生を送る会―
Ｃ よりよい学校生活，集団生活の充実
●ミレーとルソー
Ｂ 友情，信頼
●富士観測所をつくるために
Ａ 希望と勇気，努力と強い意志
●明日へ向かって
Ｃ 勤労，公共の精神</t>
  </si>
  <si>
    <t>●学級の旗を作ろう
Ｃ よりよい学校生活，集団生活の充実</t>
  </si>
  <si>
    <t>●全校集会
Ｃ よりよい学校生活，集団生活の充実</t>
  </si>
  <si>
    <t>●学級目標を決めよう
Ｃ よりよい学校生活，集団生活の充実
●係を決めよう
Ｃ 勤労，公共の精神</t>
  </si>
  <si>
    <t>●係活動を見直そう
Ｃ 勤労，公共の精神</t>
  </si>
  <si>
    <t>●委員会活動開始
Ｃ 公正，公平，社会正義
●クラブ活動開始
Ａ 個性の伸長</t>
  </si>
  <si>
    <t>●1学期を振り返ろう
Ａ 節度，節制
●夏休みの計画を立てよう
Ａ 希望と勇気，努力と強い意志</t>
  </si>
  <si>
    <t>●夏休みを振り返ろう
Ａ 節度，節制
●2学期の目標を立てよう
Ａ 希望と勇気，努力と強い意志</t>
  </si>
  <si>
    <t>●学級文庫を活用しよう
Ａ 真理の探究</t>
  </si>
  <si>
    <t>●学級スポーツ大会をしよう
Ｂ 友情，信頼</t>
  </si>
  <si>
    <t>●クラブ発表会
Ａ 個性の伸長</t>
  </si>
  <si>
    <t>●1年間を振り返ろう
Ａ 節度，節制</t>
  </si>
  <si>
    <t>●クラブ見学会
Ａ 個性の伸長</t>
  </si>
  <si>
    <t>●1年間の活動のまとめ
Ａ 希望と勇気，努力と強い意志</t>
  </si>
  <si>
    <t>●3学期の目標を立てよう
Ａ 希望と勇気，努力と強い意志</t>
  </si>
  <si>
    <t xml:space="preserve">●6年生を送る会の準備をしよう
Ｃ よりよい学校生活，集団生活の充実
</t>
  </si>
  <si>
    <t>●2学期を振り返ろう
Ａ 節度，節制
●冬休みの計画を立てよう
Ａ 希望と勇気，努力と強い意志</t>
  </si>
  <si>
    <t>●ちひろの思い
Ｃ 勤労，公共の精神
●マララ・ユスフザイ ―一人の少女が世界を変える―
Ｄ よりよく生きる喜び</t>
  </si>
  <si>
    <t>Ａ 善悪の判断，自律，自由と責任</t>
  </si>
  <si>
    <t>Ａ 正直，誠実</t>
  </si>
  <si>
    <t>Ａ 節度，節制</t>
  </si>
  <si>
    <t>Ａ 個性の伸長</t>
  </si>
  <si>
    <t>Ａ 希望と勇気，努力と強い意志</t>
  </si>
  <si>
    <t>Ａ 真理の探究</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</si>
  <si>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</si>
  <si>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</si>
  <si>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</si>
  <si>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</si>
  <si>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</si>
  <si>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</si>
  <si>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</si>
  <si>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</si>
  <si>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</si>
  <si>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</si>
  <si>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</si>
  <si>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</si>
  <si>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</si>
  <si>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</si>
  <si>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</si>
  <si>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Ｄ よりよく生きる喜び</t>
  </si>
  <si>
    <t>教科書会社名一覧　※削除しないようご注意ください。</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</si>
  <si>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</si>
  <si>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</si>
  <si>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</si>
  <si>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</si>
  <si>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</si>
  <si>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</si>
  <si>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</si>
  <si>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</si>
  <si>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</si>
  <si>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</si>
  <si>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</si>
  <si>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</si>
  <si>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</si>
  <si>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</si>
  <si>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</si>
  <si>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</si>
  <si>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</si>
  <si>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</si>
  <si>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東京書籍</t>
  </si>
  <si>
    <t>教育出版</t>
  </si>
  <si>
    <t>開隆堂</t>
  </si>
  <si>
    <t>学校図書</t>
  </si>
  <si>
    <t>大日本図書</t>
  </si>
  <si>
    <t>教育芸術社</t>
  </si>
  <si>
    <t>日本文教出版</t>
  </si>
  <si>
    <t>光村図書</t>
  </si>
  <si>
    <t>光文書院</t>
  </si>
  <si>
    <t>日本文教出版</t>
  </si>
  <si>
    <t>学研教育みらい</t>
  </si>
  <si>
    <t>啓林館</t>
  </si>
  <si>
    <t xml:space="preserve">●みんなの劇
Ｂ 相互理解，寛容
●いっしょに何をしようかな
Ｃ 国際理解，国際親善
●ガンジーのいかり
Ｃ 公正，公平，社会正義
●日本の心とかたち ―真・行・草―
Ｂ 礼儀
</t>
  </si>
  <si>
    <t>●救急車
Ｃ 規則の尊重
●海を耕す人たち
Ｄ 自然愛護</t>
  </si>
  <si>
    <t>●約束
Ｂ 相互理解，寛容
●命をかけて命を守る ―山岳警備隊―
Ｄ 生命の尊さ
●生きる力を引き出す笑い
Ｄ 生命の尊さ
●働く幸せ―チョーク工場の本田さん
Ｃ 勤労，公共の精神</t>
  </si>
  <si>
    <t xml:space="preserve">●「また来てね」
Ａ 正直，誠実
●心の管理人
Ａ 善悪の判断，自律，自由と責任
</t>
  </si>
  <si>
    <t>●うばわれた自由
Ａ 善悪の判断，自律，自由と責任
●手品師
Ａ 正直，誠実
●バスと赤ちゃん
Ｂ 親切，思いやり
●ふるさとのほこり　広島カープ
Ｃ 伝統と文化の尊重，国や郷土を愛する態度
●ホペイロのヤマさん
Ｄ よりよく生きる喜び</t>
  </si>
  <si>
    <t xml:space="preserve">
</t>
  </si>
  <si>
    <t>英語</t>
  </si>
  <si>
    <t>開隆堂</t>
  </si>
  <si>
    <t>学校図書</t>
  </si>
  <si>
    <t xml:space="preserve">
</t>
  </si>
  <si>
    <t>教育出版</t>
  </si>
  <si>
    <t>啓林館</t>
  </si>
  <si>
    <t>光村図書</t>
  </si>
  <si>
    <t>三省堂</t>
  </si>
  <si>
    <t>東京書籍</t>
  </si>
  <si>
    <t>東京書籍</t>
  </si>
  <si>
    <t>開隆堂</t>
  </si>
  <si>
    <t>＜英語＞</t>
  </si>
  <si>
    <t>光村図書</t>
  </si>
  <si>
    <t>三省堂</t>
  </si>
  <si>
    <t>開隆堂</t>
  </si>
  <si>
    <t xml:space="preserve">●心の健康
Ａ 個性の伸長
Ｂ 相互理解，寛容
</t>
  </si>
  <si>
    <t xml:space="preserve">●けがの防止
Ａ 善悪の判断，自律，自由と責任
Ａ 節度，節制
Ｃ 規則の尊重
</t>
  </si>
  <si>
    <t>●心の健康
Ａ 個性の伸長
Ｂ 相互理解，寛容</t>
  </si>
  <si>
    <t>●けがの防止
Ａ 善悪の判断，自律，自由と責任
Ａ 節度，節制
Ｃ 規則の尊重</t>
  </si>
  <si>
    <t xml:space="preserve">●植物の発芽と成長
Ａ 真理の探究
Ｄ 自然愛護
</t>
  </si>
  <si>
    <t xml:space="preserve">●魚のたんじょう
Ａ 真理の探究
Ｄ 生命の尊さ
</t>
  </si>
  <si>
    <t xml:space="preserve">●花から実へ
Ａ 真理の探究
Ｄ 自然愛護
</t>
  </si>
  <si>
    <t>●天気と情報［1］天気の変化
Ａ 真理の探究
Ｄ 自然愛護</t>
  </si>
  <si>
    <t xml:space="preserve">●生命のつながり［1］ 植物の発芽と成長 
Ａ 真理の探究
Ｄ 自然愛護
</t>
  </si>
  <si>
    <t>●生命のつながり［2］メダカのたんじょう
Ａ 真理の探究
Ｄ 生命の尊さ</t>
  </si>
  <si>
    <t>●もののとけ方
Ａ 真理の探究
Ｂ 相互理解，寛容
Ｃ 規則の尊重</t>
  </si>
  <si>
    <t>●ふりこの動き 
Ａ 真理の探究
Ｂ 相互理解，寛容</t>
  </si>
  <si>
    <t>●電磁石の性質
Ａ 個性の伸長
Ａ 真理の探究
Ｂ 相互理解，寛容</t>
  </si>
  <si>
    <t xml:space="preserve">●生命のつながり［4］人のたんじょう
Ａ 真理の探究
Ｄ 生命の尊さ
 </t>
  </si>
  <si>
    <t>●ふりこの運動
Ａ 真理の探究
Ｂ 相互理解，寛容</t>
  </si>
  <si>
    <t>●種子の発芽と成長
Ａ 真理の探究
Ｄ 自然愛護</t>
  </si>
  <si>
    <t>●魚のたんじょう
Ａ 真理の探究
Ｄ 生命の尊さ
Ｄ 自然愛護</t>
  </si>
  <si>
    <t>●電流のはたらき
Ａ 真理の探究
Ｂ 相互理解，寛容
Ｃ 規則の尊重</t>
  </si>
  <si>
    <t>●人のたんじょう
Ａ 真理の探究
Ｄ 生命の尊さ</t>
  </si>
  <si>
    <t>●メダカのたんじょう
Ａ 真理の探究
Ｄ 生命の尊さ</t>
  </si>
  <si>
    <t>●流れる水と土地
Ａ 真理の探究
Ｄ 自然愛護</t>
  </si>
  <si>
    <t xml:space="preserve">●もののとけ方
Ａ 真理の探究
Ｂ 相互理解，寛容
Ｃ 規則の尊重
</t>
  </si>
  <si>
    <t>●電流と電磁石
Ａ 真理の探究
Ｂ 相互理解，寛容
Ｃ 規則の尊重</t>
  </si>
  <si>
    <t>●Hello, friends.
Ｂ 友情，信頼
Ｃ 国際理解，国際親善</t>
  </si>
  <si>
    <t>●When is your birthday?
Ｂ 友情，信頼
Ｃ 国際理解，国際親善</t>
  </si>
  <si>
    <t xml:space="preserve">●What do you want to 
study? 
Ａ 希望と勇気，努力と強い意志
Ｃ 国際理解，国際親善
</t>
  </si>
  <si>
    <t>●外国の人に自己紹介
をしよう 
Ｃ 国際理解，国際親善</t>
  </si>
  <si>
    <t>●He can bake bread well. 
Ｂ 友情，信頼
Ｃ 国際理解，国際親善</t>
  </si>
  <si>
    <t>●Where is the post office? 
Ｃ 伝統と文化の尊重，国や郷土を愛する態度
Ｃ 国際理解，国際親善</t>
  </si>
  <si>
    <t>●What would you like?
Ｂ 礼儀
Ｃ 国際理解，国際親善</t>
  </si>
  <si>
    <t>●地域のおすすめを紹介しよう
Ｃ 伝統と文化の尊重，国や郷土を愛する態度
Ｃ 国際理解，国際親善</t>
  </si>
  <si>
    <t>●Welcome to Japan. 
Ｃ 伝統と文化の尊重，国や郷土を愛する態度
Ｃ 国際理解，国際親善</t>
  </si>
  <si>
    <t>●Who is your hero? 
Ｂ 友情，信頼
Ｃ 国際理解，国際親善</t>
  </si>
  <si>
    <t>●「日本のすてき」を紹介
しよう 
Ｃ 伝統と文化の尊重，国や郷土を愛する態度
Ｃ 国際理解，国際親善</t>
  </si>
  <si>
    <t>●How many CDs do you have? 
Ｂ 友情，信頼
Ｃ 国際理解，国際親善</t>
  </si>
  <si>
    <t>●What do you have on Fridays?
Ｃ よりよい学校生活，集団生活の充実
Ｃ 国際理解，国際親善</t>
  </si>
  <si>
    <t>●Where is the beach ball?
Ｂ 友情，信頼
Ｃ 国際理解，国際親善</t>
  </si>
  <si>
    <t>●Can you walk on takeuma? 
Ｃ 伝統と文化の尊重，国や郷土を愛する態度
Ｃ 国際理解，国際親善</t>
  </si>
  <si>
    <t>●I have P.E. on Monday.
Ｃ よりよい学校生活，集団生活の充実
Ｃ 国際理解，国際親善</t>
  </si>
  <si>
    <t>●This is my dream day.
Ａ 善悪の判断，自律，自由と責任
Ｃ 国際理解，国際親善
●I can run fast.
Ａ 個性の伸長
Ｃ 国際理解，国際親善</t>
  </si>
  <si>
    <t>●Where do you want to go?
Ｃ 伝統と文化の尊重，国や郷土を愛する態度
Ｃ 国際理解，国際親善</t>
  </si>
  <si>
    <t>●I'd like a pizza.
Ｃ 勤労，公共の精神
Ｃ 国際理解，国際親善</t>
  </si>
  <si>
    <t xml:space="preserve">●Let's Read and Act ②A Good Idea!／Let's Look at the World②
Ｂ 親切，思いやり
Ｃ 国際理解，国際親善
</t>
  </si>
  <si>
    <t xml:space="preserve">●Where is the station?
Ｂ 親切，思いやり
Ｃ 国際理解，国際親善
</t>
  </si>
  <si>
    <t>●This is my dream friend.
Ａ 個性の伸長
Ｃ 国際理解，国際親善</t>
  </si>
  <si>
    <t>●I study math on Monday.
Ｃ よりよい学校生活，集団生活の充実
Ｃ 国際理解，国際親善</t>
  </si>
  <si>
    <t>●I sometimes walk the dog.
Ｃ 家族愛，家庭生活の充実
Ｃ 国際理解，国際親善</t>
  </si>
  <si>
    <t>●REVIEW 1
Ｃ 国際理解，国際親善</t>
  </si>
  <si>
    <t>●She can sing well.
Ａ 個性の伸長
Ｃ 国際理解，国際親善</t>
  </si>
  <si>
    <t>●This is my sister.
Ｃ 家族愛，家庭生活の充実
Ｃ 国際理解，国際親善</t>
  </si>
  <si>
    <t>●I want to go to France.
Ｃ 国際理解，国際親善</t>
  </si>
  <si>
    <t>●REVIEW 2 
Ｃ 国際理解，国際親善</t>
  </si>
  <si>
    <t>●Where’s the park?
Ｃ 国際理解，国際親善</t>
  </si>
  <si>
    <t>●I’d like pizza.
Ｂ 礼儀
Ｃ 国際理解，国際親善</t>
  </si>
  <si>
    <t>●REVIEW 3
Ｃ 国際理解，国際親善</t>
  </si>
  <si>
    <t>●What do you have on Monday?
Ｃ よりよい学校生活，集団生活の充実
Ｃ 国際理解，国際親善</t>
  </si>
  <si>
    <t>●世界の友達１
Ｃ 国際理解，国際親善</t>
  </si>
  <si>
    <t>●What time do you get up?
Ｃ 家族愛，家庭生活の充実
Ｃ 国際理解，国際親善</t>
  </si>
  <si>
    <t>●Where is the gym?
Ｂ 親切，思いやり
Ｃ 国際理解，国際親善</t>
  </si>
  <si>
    <t>●My hero is my brother.
Ｂ 友情，信頼
Ｃ 国際理解，国際親善</t>
  </si>
  <si>
    <t>●世界の友達３
Ｃ 国際理解，国際親善</t>
  </si>
  <si>
    <t>●I can jump high.
Ｂ 友情，信頼
Ｃ 国際理解，国際親善</t>
  </si>
  <si>
    <t>●This is me.
Ｂ 友情，信頼
Ｃ 国際理解，国際親善</t>
  </si>
  <si>
    <t>●I play soccer on Mondays.
Ｃ よりよい学校生活，集団生活の充実
Ｃ 国際理解，国際親善</t>
  </si>
  <si>
    <t>●He is a music teacher.
Ｃ よりよい学校生活，集団生活の充実
Ｃ 国際理解，国際親善</t>
  </si>
  <si>
    <t>●I want to go to Kenya.
Ｃ 伝統と文化の尊重，国や郷土を愛する態度
Ｃ 国際理解，国際親善</t>
  </si>
  <si>
    <t>●Mt. Fuji is beautiful.
Ｃ 伝統と文化の尊重，国や郷土を愛する態度
Ｃ 国際理解，国際親善</t>
  </si>
  <si>
    <t>●What do you have on Mondays?
Ａ 希望と勇気，努力と強い意志
Ｃ 国際理解，国際親善</t>
  </si>
  <si>
    <t>●Can you do this?
Ｂ 友情，信頼
Ｃ 国際理解，国際親善</t>
  </si>
  <si>
    <t>●パーティーを楽しもう。
Ｂ 友情，信頼
Ｃ 国際理解，国際親善</t>
  </si>
  <si>
    <t>●Where is your treasure?
Ｂ 友情，信頼
Ｃ 国際理解，国際親善</t>
  </si>
  <si>
    <t>●My Hero
Ｂ 友情，信頼
Ｃ 国際理解，国際親善</t>
  </si>
  <si>
    <t>●Happy New Year
Ｃ 伝統と文化の尊重，国や郷土を愛する態度
Ｃ 国際理解，国際親善</t>
  </si>
  <si>
    <t>●What would you like?
Ｂ 友情，信頼
Ｃ 国際理解，国際親善</t>
  </si>
  <si>
    <t>●I love my town.
Ｃ 伝統と文化の尊重，国や郷土を愛する態度
Ｃ 国際理解，国際親善
●自分のことを伝えよう。
Ｂ 友情，信頼
Ｃ 国際理解，国際親善</t>
  </si>
  <si>
    <t>●流れる水のはたらき／川と災害
Ａ 真理の探究
Ｃ 規則の尊重
Ｄ 自然愛護</t>
  </si>
  <si>
    <t>●科学者の伝記を読もう
Ａ 希望と勇気，努力と強い意志
Ａ 真理の探究</t>
  </si>
  <si>
    <t>●この言葉、あなたならどう考える
Ｂ 相互理解，寛容
●事実と考えを区別しよう
Ａ 善悪の判断，自律，自由と責任
●だいじょうぶ　だいじょうぶ
Ｃ 家族愛，家庭生活の充実
Ｄ 生命の尊さ
●図書館へ行こう
Ｃ 規則の尊重
●動物たちが教えてくれる海の中のくらし
Ｄ 自然愛護</t>
  </si>
  <si>
    <t>●漢字の成り立ち 
Ｃ 伝統と文化の尊重，国や郷土を愛する態度
Ｃ 国際理解，国際親善
●知りたいことを聞き出そう
Ａ 希望と勇気，努力と強い意志
Ａ 真理の探究</t>
  </si>
  <si>
    <t>●環境問題について報告しよう
Ａ 善悪の判断，自律，自由と責任
●世界でいちばんやかましい音
Ａ 節度，節制
Ｃ 規則の尊重
●文の組み立てをとらえよう 
Ａ 真理の探究
Ｂ 親切，思いやり
●新聞記事を読み比べよう
Ａ 善悪の判断，自律，自由と責任
Ｂ 相互理解，寛容</t>
  </si>
  <si>
    <t>●本は友達
Ａ 個性の伸長</t>
  </si>
  <si>
    <t>●紙風船／水のこころ
Ｂ 親切，思いやり
Ｄ 感動，畏敬の念
●問題を解決するために話し合おう
Ｂ 相互理解，寛容
●敬語の使い方
Ｂ 礼儀
●注文の多い料理店
Ａ 善悪の判断，自律，自由と責任
Ｃ 公正，公平，社会正義</t>
  </si>
  <si>
    <t>●古文に親しむ
Ｃ 伝統と文化の尊重，国や郷土を愛する態度
●和の文化を受けつぐ—和菓子をさぐる
Ｃ 伝統と文化の尊重，国や郷土を愛する態度</t>
  </si>
  <si>
    <t>●伝えたい、心に残る言葉
Ａ 個性の伸長
●和語、漢語、外来語
Ｃ 伝統と文化の尊重，国や郷土を愛する態度
Ｃ 国際理解，国際親善
●大造じいさんとがん
Ａ 真理の探究
Ｂ 友情，信頼
Ｄ 自然愛護
Ｄ よりよく生きる喜び</t>
  </si>
  <si>
    <t>●反対の立場を考えて意見文を書こう
Ｂ 相互理解，寛容
●友達といっしょに、本をしょうかいしよう
Ｂ 友情，信頼</t>
  </si>
  <si>
    <t>●古文のえがく四季
Ｃ 伝統と文化の尊重，国や郷土を愛する態度
Ｄ 自然愛護
●心が動いたことを三十一音で表そう 
Ａ 正直，誠実
●熟語を使おう
Ｃ 規則の尊重
●「弱いロボット」だからできること
Ａ 正直，誠実
Ａ 真理の探究</t>
  </si>
  <si>
    <t>●「わたしの文章見本帳」を作ろう
Ａ 真理の探究
Ｂ 親切，思いやり</t>
  </si>
  <si>
    <t>●今日からはじまる
Ｄ 生命の尊さ
Ｄ よりよく生きる喜び
●しょうかいします、わたしの友達
Ｂ 友情，信頼
●みちくさ
Ｂ 友情，信頼
Ｄ 自然愛護
●自分だけのノートを作ろう
Ａ 真理の探究
●春
Ｃ 伝統と文化の尊重，国や郷土を愛する態度
Ｄ 自然愛護
●文の構造
Ｃ 規則の尊重
●和語・漢語・外来語
Ｃ 伝統と文化の尊重，国や郷土を愛する態度
Ｃ 国際理解，国際親善
●言葉をつないで文を作ろう１
Ａ 個性の伸長</t>
  </si>
  <si>
    <t>●「年鑑」を使って調べよう
Ｃ 規則の尊重
●東京スカイツリーのひみつ
Ａ 希望と勇気，努力と強い意志
Ａ 真理の探究
Ｃ 伝統と文化の尊重，国や郷土を愛する態度
●手紙の書き方
Ｂ 礼儀
Ｃ 規則の尊重</t>
  </si>
  <si>
    <t>●レモン／し
Ｄ 感動，畏敬の念
●漢字の広場２
Ｃ 規則の尊重
●言葉をつないで文を作ろう３
Ａ 個性の伸長
●わたしたちとメディア／〈視点を変える〉インターネット・コミュニケーション
Ａ 真理の探究
Ｂ 相互理解，寛容
Ｃ 規則の尊重
Ｃ 公正，公平，社会正義
●宇治拾遺物語
Ｃ 伝統と文化の尊重，国や郷土を愛する態度</t>
  </si>
  <si>
    <t>●親しみを表現しよう
Ｂ 友情，信頼
●方言と共通語
Ｃ 伝統と文化の尊重，国や郷土を愛する態度
●紙風船
Ｄ 感動，畏敬の念
●「入れかえ文」を作って楽しもう
Ｃ 規則の尊重
●新聞の情報を読み取ろう
Ａ 善悪の判断，自律，自由と責任
Ａ 真理の探究
●秋
Ｃ 伝統と文化の尊重，国や郷土を愛する態度
Ｄ 自然愛護
●文章の構成を知ろう
Ｃ 規則の尊重</t>
  </si>
  <si>
    <t>●どう考える？　この投書
Ａ 善悪の判断，自律，自由と責任
Ａ 真理の探究
●学校を百倍すてきにしよう
Ａ 希望と勇気，努力と強い意志
Ｃ よりよい学校生活，集団生活の充実</t>
  </si>
  <si>
    <t>●漢字の広場１
Ｃ 規則の尊重
●言葉をつないで文を作ろう１
Ａ 個性の伸長
●勇気の花がひらくとき
Ａ 正直，誠実
Ａ 個性の伸長
Ａ 希望と勇気，努力と強い意志
Ｃ 公正，公平，社会正義
●俳句・短歌を作ろう
Ａ 真理の探究
Ｃ 伝統と文化の尊重，国や郷土を愛する態度
●動作の状態や意味をくわしくする言葉
Ｃ 規則の尊重
●なぜ本を読むのか／読書の部屋
Ａ 正直，誠実</t>
  </si>
  <si>
    <t>●冬
Ｃ 伝統と文化の尊重，国や郷土を愛する態度
Ｄ 自然愛護
●「一本」から見える数え方の世界
Ａ 真理の探究
Ｃ 規則の尊重
●言葉について調べよう
Ａ 希望と勇気，努力と強い意志
Ａ 真理の探究</t>
  </si>
  <si>
    <t>●ゆず
Ｂ 親切，思いやり
Ｂ 感謝
●言葉をつないで文を作ろう２
Ａ 個性の伸長
●文語詩　やしの実
Ｃ 伝統と文化の尊重，国や郷土を愛する態度
Ｄ 感動，畏敬の念
●漢字の音読みと訓読み
Ｃ 規則の尊重
Ｃ 伝統と文化の尊重，国や郷土を愛する態度
Ｃ 国際理解，国際親善
●大造じいさんとがん
Ａ 真理の探究
Ｂ 友情，信頼
Ｄ 自然愛護
Ｄ よりよく生きる喜び</t>
  </si>
  <si>
    <t xml:space="preserve">●より良い考え方はどっち？
Ａ 善悪の判断，自律，自由と責任
Ｃ 公正，公平，社会正義
●日本語の文字の歴史
Ｃ 伝統と文化の尊重，国や郷土を愛する態度
Ｃ 国際理解，国際親善
●漢字の広場２
Ｃ 規則の尊重
●言葉をつないで文を作ろう３
Ａ 希望と勇気，努力と強い意志
Ｃ 勤労，公共の精神
●小さな質問
Ｄ 感動，畏敬の念
Ｄ よりよく生きる喜び
●五年生をふり返って
Ａ 希望と勇気，努力と強い意志
</t>
  </si>
  <si>
    <t xml:space="preserve">●木竜うるし
Ａ 善悪の判断，自律，自由と責任
Ｃ 伝統と文化の尊重，国や郷土を愛する態度
●和紙の心
Ｃ 伝統と文化の尊重，国や郷土を愛する態度
Ｃ 国際理解，国際親善
●バスに乗って
Ａ 善悪の判断，自律，自由と責任
Ａ 節度，節制
Ｂ 相互理解，寛容
●トロッコ列車で行く黒部きょうこく
Ａ 真理の探究
Ｃ 勤労，公共の精神
Ｄ 自然愛護
</t>
  </si>
  <si>
    <t>●わたしは木／水平線／うぐいす
Ｄ 自然愛護
●いつか、大切なところ
Ｂ 友情，信頼
Ｃ よりよい学校生活，集団生活の充実</t>
  </si>
  <si>
    <t>●話し言葉と書き言葉
Ｂ 礼儀
Ｂ 親切，思いやり
●「町じまん」をすいせんしよう／ポスターを作ろう
Ａ 真理の探究
Ｃ 伝統と文化の尊重，国や郷土を愛する態度</t>
  </si>
  <si>
    <t>●漢文に親しむ 
Ｃ 国際理解，国際親善
●敬語 
Ｂ 礼儀
●漢字の広場②　複合語／四年生で学んだ漢字②
Ｃ 規則の尊重</t>
  </si>
  <si>
    <t>●知りたいことを決めて、話を聞こう
Ａ 真理の探究
Ｂ 友情，信頼
●素朴な琴／鳴く虫／山のあなた
Ｄ 自然愛護
Ｄ 感動，畏敬の念
●大造じいさんとがん
Ａ 真理の探究
Ｂ 友情，信頼
Ｄ 自然愛護
Ｄ よりよく生きる喜び</t>
  </si>
  <si>
    <t>●鳥
Ｃ 伝統と文化の尊重，国や郷土を愛する態度
Ｄ 自然愛護
●俳句を作ろう
Ｃ 伝統と文化の尊重，国や郷土を愛する態度
●ＡＩとのくらし
Ｂ 相互理解，寛容
Ｃ 規則の尊重
●漢字の広場③　熟語の構成／四年生で学んだ漢字③
Ｃ 規則の尊重
●方言と共通語 
Ｃ 伝統と文化の尊重，国や郷土を愛する態度
●世界遺産　白神山地からの提言――意見文を書こう
Ｃ 規則の尊重
Ｃ 伝統と文化の尊重，国や郷土を愛する態度
Ｄ 自然愛護</t>
  </si>
  <si>
    <t>●「古典」を楽しむ
Ｃ 伝統と文化の尊重，国や郷土を愛する態度
Ｃ 国際理解，国際親善
●かなづかいで気をつけること 
Ｃ 伝統と文化の尊重，国や郷土を愛する態度
●漢字の広場④　漢字の成り立ち／四年生で学んだ漢字④
Ｃ 規則の尊重
●雪わたり
Ｂ 友情，信頼
Ｃ 公正，公平，社会正義
Ｄ 感動，畏敬の念</t>
  </si>
  <si>
    <t>●「図書すいせん会」をしよう
Ａ 真理の探究
Ｂ 友情，信頼
●言葉で伝える、心を伝える
Ｂ 友情，信頼
Ｂ 相互理解，寛容</t>
  </si>
  <si>
    <t>●はたはたのうた／雪
Ｄ 自然愛護
●提案文を書こう
Ａ 節度，節制</t>
  </si>
  <si>
    <t>●漢字の広場⑥　送りがなのきまり／四年生で学んだ漢字
Ｃ 規則の尊重
●みすゞさがしの旅
Ａ 希望と勇気，努力と強い意志
●国語の学習　これまで　これから
Ａ 希望と勇気，努力と強い意志</t>
  </si>
  <si>
    <t>●短歌や俳句を楽しもう
Ｃ 伝統と文化の尊重，国や郷土を愛する態度
Ｄ 自然愛護
●くぎり符号の使い方
Ｃ 規則の尊重
●電子メールで伝え合う
Ａ 節度，節制
●三人の旅人たち　
Ａ 善悪の判断，自律，自由と責任
●附子
Ｃ 伝統と文化の尊重，国や郷土を愛する態度
●自分の考えをまとめよう
Ａ 善悪の判断，自律，自由と責任
●注意するかなづかい
Ｃ 規則の尊重
Ｃ 伝統と文化の尊重，国や郷土を愛する態度</t>
  </si>
  <si>
    <t>●漢字の広場①
Ａ 善悪の判断，自律，自由と責任
●見立てる
Ａ 真理の探究
Ｃ 伝統と文化の尊重，国や郷土を愛する態度
Ｃ 国際理解，国際親善
●言葉の意味が分かること
Ａ 真理の探究
Ｃ 国際理解，国際親善
●原因と結果
Ａ 真理の探究
●和語・漢語・外来語
Ｃ 伝統と文化の尊重，国や郷土を愛する態度
Ｃ 国際理解，国際親善</t>
  </si>
  <si>
    <t xml:space="preserve">●日常を十七音で
Ｃ 伝統と文化の尊重，国や郷土を愛する態度
Ｄ 自然愛護
●古典の世界（一）
Ｃ 伝統と文化の尊重，国や郷土を愛する態度
●目的に応じて引用するとき
Ｃ 規則の尊重
●みんなが過ごしやすい町へ
Ｂ 相互理解，寛容
Ｃ 公正，公平，社会正義
Ｃ 伝統と文化の尊重，国や郷土を愛する態度
</t>
  </si>
  <si>
    <t>●同じ読み方の漢字
Ｃ 規則の尊重
●夏の夜
Ｃ 伝統と文化の尊重，国や郷土を愛する態度
Ｄ 自然愛護
●作家で広げるわたしたちの読書
Ａ 個性の伸長
●カレーライス
Ｃ 家族愛，家庭生活の充実</t>
  </si>
  <si>
    <t xml:space="preserve">●からたちの花
Ｄ 自然愛護
●どちらを選びますか
Ｂ 相互理解，寛容
●新聞を読もう
Ａ 真理の探究
●敬語
Ｂ 礼儀
●たずねびと
Ａ 善悪の判断，自律，自由と責任
Ａ 正直，誠実
Ａ 真理の探究
Ｄ 生命の尊さ
●漢字の広場②
Ａ 個性の伸長
</t>
  </si>
  <si>
    <t>●古典芸能の世界――語りで伝える
Ｃ 伝統と文化の尊重，国や郷土を愛する態度
●カンジー博士の暗号解読
Ｃ 規則の尊重
●古典の世界（二）
Ｃ 伝統と文化の尊重，国や郷土を愛する態度
Ｃ 国際理解，国際親善
●漢字の広場④
Ａ 個性の伸長</t>
  </si>
  <si>
    <t xml:space="preserve">●やなせたかし――アンパンマンの勇気
Ａ 善悪の判断，自律，自由と責任
Ａ 個性の伸長
Ａ 希望と勇気，努力と強い意志
Ｃ 勤労，公共の精神
Ｄ 生命の尊さ
●あなたは，どう考える
Ａ 善悪の判断，自律，自由と責任
Ａ 真理の探究
●冬の朝
Ｃ 伝統と文化の尊重，国や郷土を愛する態度
Ｄ 自然愛護
</t>
  </si>
  <si>
    <t xml:space="preserve">●生活の中で詩を楽しもう
Ａ 個性の伸長
●方言と共通語
Ｃ 伝統と文化の尊重，国や郷土を愛する態度
●漢字の広場⑤
Ａ 善悪の判断，自律，自由と責任
●想像力のスイッチを入れよう
Ａ 善悪の判断，自律，自由と責任
Ａ 真理の探究
●複合語
Ｃ 規則の尊重
Ｃ 伝統と文化の尊重，国や郷土を愛する態度
Ｃ 国際理解，国際親善
</t>
  </si>
  <si>
    <t xml:space="preserve">●伝わる表現を選ぼう
Ａ 善悪の判断，自律，自由と責任
Ａ 真理の探究
Ｂ 相互理解，寛容
●この本，おすすめします
Ｂ 親切，思いやり
Ｃ よりよい学校生活，集団生活の充実
●提案しよう，言葉とわたしたち
Ａ 希望と勇気，努力と強い意志
Ｃ よりよい学校生活，集団生活の充実
</t>
  </si>
  <si>
    <t>●日本語の表記
Ａ 善悪の判断，自律，自由と責任
Ｃ 伝統と文化の尊重，国や郷土を愛する態度
●漢字の広場⑥
Ｃ 勤労，公共の精神
●大造じいさんとガン
Ａ 正直，誠実
Ｂ 友情，信頼
Ｄ 自然愛護
Ｄ よりよく生きる喜び</t>
  </si>
  <si>
    <t xml:space="preserve">●水産業のさかんな地域
Ａ 希望と勇気，努力と強い意志
Ｂ 友情，信頼
Ｃ 勤労，公共の精神
Ｃ 伝統と文化の尊重，国や郷土を愛する態度
Ｄ 自然愛護
</t>
  </si>
  <si>
    <t xml:space="preserve">●これからの食料生産
Ａ 善悪の判断，自律，自由と責任
Ａ 希望と勇気，努力と強い意志
Ｃ 勤労，公共の精神
Ｃ 伝統と文化の尊重，国や郷土を愛する態度
Ｃ 国際理解，国際親善
Ｄ 自然愛護
Ｄ よりよく生きる喜び
</t>
  </si>
  <si>
    <t>●環境をともに守る
Ａ 希望と勇気，努力と強い意志
Ｂ 友情，信頼
Ｃ 規則の尊重
Ｃ 伝統と文化の尊重，国や郷土を愛する態度
Ｄ 自然愛護
Ｄ よりよく生きる喜び</t>
  </si>
  <si>
    <t>●自然条件と人々のくらし
Ａ 希望と勇気，努力と強い意志
Ｂ 感謝
Ｂ 友情，信頼
Ｃ 伝統と文化の尊重，国や郷土を愛する態度
Ｄ よりよく生きる喜び</t>
  </si>
  <si>
    <t xml:space="preserve">●米づくりのさかんな地域
Ａ 希望と勇気，努力と強い意志
Ｂ 友情，信頼
Ｃ 勤労，公共の精神
Ｃ 伝統と文化の尊重，国や郷土を愛する態度
Ｄ 自然愛護
</t>
  </si>
  <si>
    <t>●水産業のさかんな地域
Ａ 善悪の判断，自律，自由と責任
Ａ 節度，節制
Ａ 希望と勇気，努力と強い意志
Ｃ 規則の尊重
Ｃ 勤労，公共の精神
Ｃ 伝統と文化の尊重，国や郷土を愛する態度
Ｃ 国際理解，国際親善
Ｄ 自然愛護</t>
  </si>
  <si>
    <t>●日本の工業生産の今と未来
Ａ 希望と勇気，努力と強い意志
Ｂ 友情，信頼
Ｃ 勤労，公共の精神
Ｃ 伝統と文化の尊重，国や郷土を愛する態度
Ｃ 国際理解，国際親善
Ｄ よりよく生きる喜び</t>
  </si>
  <si>
    <t>●森林とともに生きる
Ａ 節度，節制
Ｃ 勤労，公共の精神
Ｃ 伝統と文化の尊重，国や郷土を愛する態度
Ｄ 自然愛護
Ｄ よりよく生きる喜び</t>
  </si>
  <si>
    <t xml:space="preserve">●情報を生かして発展する産業
Ａ 善悪の判断，自律，自由と責任
Ａ 節度，節制
Ａ 希望と勇気，努力と強い意志
Ｃ 勤労，公共の精神
Ｃ よりよい学校生活，集団生活の充実
Ｄ 自然愛護
</t>
  </si>
  <si>
    <t>●自然災害から人々を守る
Ａ 善悪の判断，自律，自由と責任
Ｂ 親切，思いやり
Ｃ 勤労，公共の精神
Ｃ 伝統と文化の尊重，国や郷土を愛する態度
Ｄ 生命の尊さ
Ｄ よりよく生きる喜び</t>
  </si>
  <si>
    <t>●宮沢賢治
Ａ 希望と勇気，努力と強い意志
Ｃ 公正，公平，社会正義</t>
  </si>
  <si>
    <t>●面積の求め方を考えよう
Ａ 希望と勇気，努力と強い意志</t>
  </si>
  <si>
    <t>●合同な図形
Ａ 真理の探究</t>
  </si>
  <si>
    <t>●四角形や三角形の面積
Ａ 希望と勇気，努力と強い意志
Ａ 真理の探究</t>
  </si>
  <si>
    <t xml:space="preserve">●図形の面積
Ａ 希望と勇気，努力と強い意志
Ｃ よりよい学校生活，集団生活の充実
</t>
  </si>
  <si>
    <t xml:space="preserve">●音楽の旅
Ｃ 伝統と文化の尊重，国や郷土を愛する態度
Ｃ 国際理解，国際親善
</t>
  </si>
  <si>
    <t>●歌声をひびかせて心をつなげよう
Ｃ 伝統と文化の尊重，国や郷土を愛する態度
Ｄ 感動，畏敬の念</t>
  </si>
  <si>
    <t xml:space="preserve">●音の重なりを感じ取ろう
Ｄ 感動，畏敬の念
</t>
  </si>
  <si>
    <t xml:space="preserve">●いろいろな音色を感じ取ろう
Ｃ よりよい学校生活，集団生活の充実
Ｄ 感動，畏敬の念
</t>
  </si>
  <si>
    <t>●和音の移り替わりを感じ取ろう
Ａ 真理の探究
Ｂ 相互理解，寛容</t>
  </si>
  <si>
    <t>●曲想の変化を感じ取ろう
Ａ 真理の探究
Ｂ 友情，信頼</t>
  </si>
  <si>
    <t xml:space="preserve">●詩と音楽の関わりを味わおう
Ａ 真理の探究
Ｃ 伝統と文化の尊重，国や郷土を愛する態度
</t>
  </si>
  <si>
    <t>●日本の音楽に親しもう
Ｃ 伝統と文化の尊重，国や郷土を愛する態度</t>
  </si>
  <si>
    <t xml:space="preserve">●思いを表現に生かそう
Ｃ よりよい学校生活，集団生活の充実
Ｄ 感動，畏敬の念
</t>
  </si>
  <si>
    <t>●季節を感じて
Ｃ 国際理解，国際親善
Ｄ 自然愛護</t>
  </si>
  <si>
    <t>●糸のこの寄り道散歩
Ａ 希望と勇気，努力と強い意志</t>
  </si>
  <si>
    <t xml:space="preserve">●同じもの、たくさん
Ｃ よりよい学校生活，集団生活の充実
Ｃ 伝統と文化の尊重，国や郷土を愛する態度
</t>
  </si>
  <si>
    <t>●見つけて！　ワイヤードリーム／コロがるくんの旅
Ａ 希望と勇気，努力と強い意志
　</t>
  </si>
  <si>
    <t>●あったらいい町、どんな町
Ａ 正直，誠実
Ｂ 相互理解，寛容</t>
  </si>
  <si>
    <t xml:space="preserve">●地球は大きなキャンバスだ
Ｃ よりよい学校生活，集団生活の充実
Ｄ 自然愛護
</t>
  </si>
  <si>
    <t>●色を重ねて広がる形／だんボールで、試して、つくって
Ａ 節度，節制
Ａ 希望と勇気，努力と強い意志</t>
  </si>
  <si>
    <t xml:space="preserve">●Myキャラが動き出す／そっと見てね、ひみつの景色
Ｂ 友情，信頼
Ｃ よりよい学校生活，集団生活の充実
</t>
  </si>
  <si>
    <t>●ひらめきコーナー
Ａ 希望と勇気，努力と強い意志
Ｃ 伝統と文化の尊重，国や郷土を愛する態度</t>
  </si>
  <si>
    <t>●身近なものを見つめて／オリエンテーション
Ｄ 感動，畏敬の念</t>
  </si>
  <si>
    <t>●のぞいてみると
Ｄ 感動，畏敬の念
●心のもよう
Ａ 正直，誠実</t>
  </si>
  <si>
    <t>●カードを使って（選択）カードをつくって／アート・カードで
Ｂ 相互理解，寛容</t>
  </si>
  <si>
    <t>●形が動く 絵が動く（選択）身近な材料で／紙ねん土で／黒板で／身の回りのもので
Ａ 真理の探究</t>
  </si>
  <si>
    <t xml:space="preserve">●言葉から思いを広げて
Ａ 正直，誠実
</t>
  </si>
  <si>
    <t xml:space="preserve">●使って楽しい焼き物
Ｃ 伝統と文化の尊重，国や郷土を愛する態度
●糸のこスイスイ
Ａ 希望と勇気，努力と強い意志
</t>
  </si>
  <si>
    <t>●でこぼこの絵
Ａ 個性の伸長</t>
  </si>
  <si>
    <t>●光と場所のハーモニー（選択）暗い場所で／明るい場所で
Ａ 真理の探究</t>
  </si>
  <si>
    <t>●わたしのいい形（選択）ほり出した形／ねった形
Ａ 希望と勇気，努力と強い意志</t>
  </si>
  <si>
    <t>●ほり進めて刷り重ねて
Ａ 希望と勇気，努力と強い意志</t>
  </si>
  <si>
    <t xml:space="preserve">●伝え合いたい思い
Ｂ 友情，信頼
Ｂ 相互理解，寛容
</t>
  </si>
  <si>
    <t xml:space="preserve">●おいしい楽しい調理の力
Ａ 節度，節制
Ｂ 礼儀
</t>
  </si>
  <si>
    <t>●ひと針に心をこめて
Ａ 節度，節制
Ｃ 規則の尊重</t>
  </si>
  <si>
    <t>●持続可能な暮らしへ　物やお金の使い方
Ａ 節度，節制
Ｃ 公正，公平，社会正義</t>
  </si>
  <si>
    <t>●食べて元気！ご飯とみそ汁
Ａ 真理の探究
Ｃ 伝統と文化の尊重，国や郷土を愛する態度</t>
  </si>
  <si>
    <t>●物を生かして住みやすく
Ａ 節度，節制
Ｃ 勤労，公共の精神
Ｃ 伝統と文化の尊重，国や郷土を愛する態度</t>
  </si>
  <si>
    <t xml:space="preserve">●気持ちがつながる家族の時間
Ｃ 勤労，公共の精神
Ｃ 家族愛，家庭生活の充実
</t>
  </si>
  <si>
    <t>●ミシンにトライ！手作りで楽しい生活
Ａ 希望と勇気，努力と強い意志
Ｃ 規則の尊重</t>
  </si>
  <si>
    <t xml:space="preserve">●５年生のまとめ
Ａ 善悪の判断，自律，自由と責任
Ａ 節度，節制
</t>
  </si>
  <si>
    <t xml:space="preserve">●生活を変えるチャンス！
Ｃ 勤労，公共の精神
Ｃ 家族愛，家庭生活の充実
</t>
  </si>
  <si>
    <t>●ソーイング　はじめの一歩
Ａ 節度，節制
Ｃ 規則の尊重</t>
  </si>
  <si>
    <t xml:space="preserve">●整理・整とんで快適に 
Ａ 節度，節制
Ｃ 勤労，公共の精神
</t>
  </si>
  <si>
    <t xml:space="preserve">●できるよ，家庭の仕事
Ｂ 親切，思いやり
Ｃ 勤労，公共の精神
Ｃ 家族愛，家庭生活の充実
</t>
  </si>
  <si>
    <t>●ミシンでソーイング
Ａ 希望と勇気，努力と強い意志
Ｃ 規則の尊重</t>
  </si>
  <si>
    <t xml:space="preserve">●食べて元気に
Ａ 節度，節制
Ｃ 家族愛，家庭生活の充実
Ｃ 伝統と文化の尊重，国や郷土を愛する態度
</t>
  </si>
  <si>
    <t>●生活を支えるお金と物
Ａ 節度，節制
Ｃ 勤労，公共の精神</t>
  </si>
  <si>
    <t xml:space="preserve">●暖かく快適に過ごす着方
Ａ 善悪の判断，自律，自由と責任
Ａ 節度，節制
</t>
  </si>
  <si>
    <t>●マット運動
Ａ 希望と勇気，努力と強い意志
Ｂ 友情，信頼</t>
  </si>
  <si>
    <t>●走り幅跳び
Ａ 希望と勇気，努力と強い意志
Ｂ 友情，信頼</t>
  </si>
  <si>
    <t xml:space="preserve">●跳び箱運動
Ａ 希望と勇気，努力と強い意志
Ｂ 友情，信頼
</t>
  </si>
  <si>
    <t>●ゴール型 手（バスケットボール）
Ａ 希望と勇気，努力と強い意志
Ｂ 友情，信頼
Ｃ 規則の尊重</t>
  </si>
  <si>
    <t xml:space="preserve">●ガイダンス
Ａ 希望と勇気，努力と強い意志
●私の生活，大発見！
Ａ 節度，節制
Ｃ 家族愛，家庭生活の充実
Ｃ 伝統と文化の尊重，国や郷土を愛する態度
</t>
  </si>
  <si>
    <t>●巻頭
Ｄ 感動，畏敬の念
●歌いつごう　日本の歌
Ｃ 伝統と文化の尊重，国や郷土を愛する態度
●みんなで楽しく
Ａ 希望と勇気，努力と強い意志
Ｂ 感謝
Ｂ 友情，信頼
Ｃ 国際理解，国際親善
Ｄ 感動，畏敬の念</t>
  </si>
  <si>
    <t>●Let's Read and Act ①大事なことを覚えておこう／Let's Look at the World①
Ｃ 規則の尊重
Ｃ 国際理解，国際親善</t>
  </si>
  <si>
    <t>●Project Time 2人のしょうかい
Ｂ 友情，信頼
Ｃ 国際理解，国際親善</t>
  </si>
  <si>
    <t>●受けつがれる生命（３）メダカのたんじょう
Ａ 真理の探究
Ｄ 生命の尊さ</t>
  </si>
  <si>
    <t>●受けつがれる生命（４）ヒトのたんじょう
Ａ 真理の探究
Ｄ 生命の尊さ</t>
  </si>
  <si>
    <t>●受けつがれる生命（５）花から実へ
Ａ 真理の探究
Ｄ 自然愛護</t>
  </si>
  <si>
    <t>●６年の学習の準備
Ｄ 自然愛護</t>
  </si>
  <si>
    <t>●わたしの研究
Ａ 個性の伸長
Ａ 真理の探究</t>
  </si>
  <si>
    <t>●日本の国土と人々のくらし／大単元の導入
Ｃ 伝統と文化の尊重，国や郷土を愛する態度
●世界から見た日本
Ｃ 伝統と文化の尊重，国や郷土を愛する態度
Ｃ 国際理解，国際親善</t>
  </si>
  <si>
    <t>●教えて，あなたのこと
Ｂ 相互理解，寛容
●かんがえるのって　おもしろい
Ａ 真理の探究
●なまえつけてよ
Ｂ 友情，信頼
Ｄ 自然愛護
●図書館を使いこなそう
Ｃ 規則の尊重
●漢字の成り立ち
Ｃ 伝統と文化の尊重，国や郷土を愛する態度
Ｃ 国際理解，国際親善
●春の空
Ｃ 伝統と文化の尊重，国や郷土を愛する態度
Ｄ 自然愛護
●きいて，きいて，きいてみよう
Ｂ 相互理解，寛容
●インタビューをするとき
Ｂ 礼儀</t>
  </si>
  <si>
    <t xml:space="preserve">●情報化した社会と産業の発展／導入
Ｃ 公正，公平，社会正義
●情報産業とわたしたちのくらし
Ａ 善悪の判断，自律，自由と責任
Ａ 希望と勇気，努力と強い意志
Ａ 真理の探究
Ｂ 親切，思いやり
Ｃ 公正，公平，社会正義
Ｃ 勤労，公共の精神
</t>
  </si>
  <si>
    <t>●未来を支える食糧生産／オリエンテーション
Ｃ 伝統と文化の尊重，国や郷土を愛する態度
●米づくりのさかんな地域
Ａ 希望と勇気，努力と強い意志
Ｂ 親切，思いやり
Ｂ 友情，信頼
Ｃ 勤労，公共の精神
Ｃ よりよい学校生活，集団生活の充実
Ｃ 伝統と文化の尊重，国や郷土を愛する態度
Ｄ 自然愛護</t>
  </si>
  <si>
    <t xml:space="preserve">●未来とつながる情報／オリエンテーション
Ｃ 公正，公平，社会正義
●情報を伝える人々とわたしたち
Ａ 善悪の判断，自律，自由と責任
Ａ 希望と勇気，努力と強い意志
Ｂ 親切，思いやり
Ｂ 友情，信頼
Ｃ 公正，公平，社会正義
Ｃ 勤労，公共の精神
Ｃ よりよい学校生活，集団生活の充実
</t>
  </si>
  <si>
    <t>●夢色シンフォニー
Ｄ よりよく生きる喜び
●スキルアップ／花のおくりもの 等
Ｄ 自然愛護
●めざせ 楽器名人／星笛
Ａ 希望と勇気，努力と強い意志
●変そう曲を楽しもう
Ｄ 感動，畏敬の念
●音楽ランド／グッバイ また明日ね 等
Ｂ 友情，信頼
●日本の民ようをたずねて
Ｃ 伝統と文化の尊重，国や郷土を愛する態度
●音楽ランド／ゆき 等
Ｄ 自然愛護
●にっぽん／山田耕筰，中田喜直のうた
Ｃ 伝統と文化の尊重，国や郷土を愛する態度
●日本の楽器をたずねて／しの笛のみりょく
Ｃ 伝統と文化の尊重，国や郷土を愛する態度
●音楽ランド／ほたるの光，大切なもの 等
Ｃ 国際理解，国際親善
●全校合唱／校歌・君が代　等
Ｃ 伝統と文化の尊重，国や郷土を愛する態度</t>
  </si>
  <si>
    <t>●学びをつなごう
Ａ 真理の探究</t>
  </si>
  <si>
    <t>●学んだことをふり返ろう！
Ａ 真理の探究
Ｄ 生命の尊さ
Ｄ 自然愛護</t>
  </si>
  <si>
    <t>●計画しよう！ためしてみよう！
Ａ 真理の探究
●天気の変化　
Ａ 真理の探究
Ｄ 自然愛護</t>
  </si>
  <si>
    <t>●学びをつなごう
Ｄ 自然愛護
●物のとけ方
Ａ 真理の探究
Ｂ 相互理解，寛容
Ｃ 規則の尊重</t>
  </si>
  <si>
    <t>●学びをつなごう
Ａ 真理の探究
●ふりこのきまり
Ａ 真理の探究
Ｂ 相互理解，寛容</t>
  </si>
  <si>
    <t>●どんな計算に なるのかな？
Ａ 真理の探究
●形も大きさも同じ図形を調べよう
Ａ 真理の探究</t>
  </si>
  <si>
    <t>●考える力をのばそう
Ａ 真理の探究
●算数で読みとこう
Ａ 真理の探究
Ｃ 伝統と文化の尊重，国や郷土を愛する態度
●5年のふくしゅう
Ａ 希望と勇気，努力と強い意志</t>
  </si>
  <si>
    <t>●ふりかえろう つなげよう
Ａ 真理の探究
Ｂ 友情，信頼
●アクティブ!! 
Ａ 真理の探究
Ｂ 友情，信頼</t>
  </si>
  <si>
    <t>●ご石の数え方
Ａ 真理の探究
Ｃ 規則の尊重</t>
  </si>
  <si>
    <t>●人文字
Ａ 真理の探究
Ｃ 規則の尊重
●どんな計算になるのかな
Ａ 真理の探究
Ｃ 伝統と文化の尊重，国や郷土を愛する態度
●算数の自由研究
Ａ 個性の伸長
Ｃ 規則の尊重
●復習
Ａ 希望と勇気，努力と強い意志</t>
  </si>
  <si>
    <t>●表を使って考えよう（1）
Ａ 真理の探究
Ｃ 規則の尊重
●見積もりを使って
Ａ 真理の探究
●復習 
Ａ 希望と勇気，努力と強い意志</t>
  </si>
  <si>
    <t>●表を使って考えよう（2）
Ａ 真理の探究
Ｃ 規則の尊重
●算数ラボ
Ｃ 規則の尊重
●みらいへのつばさ 
Ａ 真理の探究
Ｃ 国際理解，国際親善
●もうすぐ6年生
Ａ 希望と勇気，努力と強い意志</t>
  </si>
  <si>
    <t>●図を使って考えよう
Ａ 真理の探究
●復習
Ａ 希望と勇気，努力と強い意志
●面積
Ａ 希望と勇気，努力と強い意志
Ｃ よりよい学校生活，集団生活の充実</t>
  </si>
  <si>
    <t>●変わり方を調べよう
Ａ 真理の探究
Ｃ 規則の尊重
●5年の復習 
Ａ 希望と勇気，努力と強い意志</t>
  </si>
  <si>
    <t>●働く人にインタビュー
Ｂ 礼儀
Ｃ 勤労，公共の精神
●複合語
Ｃ 規則の尊重
Ｃ 伝統と文化の尊重，国や郷土を愛する態度
Ｃ 国際理解，国際親善
●さまざまな情報を結び付けて考えよう
Ａ 真理の探究
Ｃ 規則の尊重
●言葉をつないで文を作ろう２
Ａ 真理の探究
●夏
Ｃ 伝統と文化の尊重，国や郷土を愛する態度
Ｄ 自然愛護
●敬語
Ｂ 礼儀
●人物を生き生きとえがき出そう
Ａ 個性の伸長
Ａ 希望と勇気，努力と強い意志</t>
  </si>
  <si>
    <t>●ゴール型（フラッグフット
ボール）
Ａ 希望と勇気，努力と強い意志
Ｂ 友情，信頼
Ｃ 規則の尊重
●水泳運動
Ａ 希望と勇気，努力と強い意志
Ｂ 友情，信頼
Ｃ 規則の尊重</t>
  </si>
  <si>
    <t>●体ほぐしの運動
Ｂ 友情，信頼
●短距離走・リレー
Ｂ 友情，信頼
Ｃ 規則の尊重</t>
  </si>
  <si>
    <t>●表現運動
Ａ 個性の伸長
Ｂ 友情，信頼
●鉄棒運動
Ａ 希望と勇気，努力と強い意志
Ｂ 友情，信頼
●ベースボール型（ソフトボール）
Ａ 希望と勇気，努力と強い意志
Ｂ 友情，信頼
Ｃ 規則の尊重</t>
  </si>
  <si>
    <t>●フォークダンス
Ａ 個性の伸長
Ｂ 友情，信頼
●ハードル走
Ａ 希望と勇気，努力と強い意志
Ｂ 友情，信頼
●体の動きを高める運動
Ｂ 友情，信頼</t>
  </si>
  <si>
    <t xml:space="preserve">●家族の生活再発見
Ｂ 感謝
Ｃ 家族愛，家庭生活の充実
●クッキング　はじめの一歩
Ａ 節度，節制
Ｃ 勤労，公共の精神
</t>
  </si>
  <si>
    <t>●暖かく快適に過ごす住まい方
Ａ 節度，節制
Ａ 真理の探究
●いっしょにほっとタイム
Ｃ 家族愛，家庭生活の充実
Ｃ 国際理解，国際親善</t>
  </si>
  <si>
    <t>●絵の具スケッチ
Ａ 希望と勇気，努力と強い意志
●あんなところがこんなところに見えてきた
Ａ 個性の伸長
●心に残ったあの時あの場所
Ａ 正直，誠実
●まだ見ぬ世界
Ａ 真理の探究
●水から発見ここきれい
Ａ 真理の探究
●立ち上がれワイヤーアート
Ａ 節度，節制
●ミラクル！ミラーステージ
Ａ 真理の探究
●消して書く
Ａ 個性の伸長
●わくわくプレイランド
Ａ 個性の伸長</t>
  </si>
  <si>
    <t>●比べてみよう
Ａ 真理の探究
Ｄ 感動，畏敬の念
●進め！　ローラー大ぼうけん 
Ａ 希望と勇気，努力と強い意志</t>
  </si>
  <si>
    <t>●動きの不思議
Ａ 真理の探究
●わたしのおすすめ
Ａ 正直，誠実
Ｃ 伝統と文化の尊重，国や郷土を愛する態度</t>
  </si>
  <si>
    <t>●みんなでたのしく、「はい、ポーズ」
Ａ 正直，誠実
●形を集めて（形と色でショートチャレンジ）
Ａ 正直，誠実
Ａ 個性の伸長</t>
  </si>
  <si>
    <t>●わたしたちの表現
Ａ 善悪の判断，自律，自由と責任
Ｂ 友情，信頼
●音／ずれの音楽を楽しもう
Ｂ 友情，信頼
Ｄ 感動，畏敬の念</t>
  </si>
  <si>
    <t>●にっぽん／スキーの歌
Ｃ 伝統と文化の尊重，国や郷土を愛する態度
●ききどころを見つけて
Ａ 真理の探究
Ｄ 感動，畏敬の念</t>
  </si>
  <si>
    <t>●豊かな表現を求めて
Ｂ 相互理解，寛容
Ｃ よりよい学校生活，集団生活の充実
●音／いろいろな声で音楽をつくろう
Ｂ 友情，信頼
Ｄ 自然愛護
Ｄ 感動，畏敬の念</t>
  </si>
  <si>
    <t>●オーケストラのみりょく
Ａ 真理の探究
Ｄ 感動，畏敬の念
●にっぽん／赤とんぼ
Ｃ 伝統と文化の尊重，国や郷土を愛する態度
Ｄ 感動，畏敬の念</t>
  </si>
  <si>
    <t>●声のひびき合い
Ｂ 友情，信頼
Ｃ よりよい学校生活，集団生活の充実
Ｄ 自然愛護
●音／和音に合わせてせんりつをつくろう
Ａ 個性の伸長</t>
  </si>
  <si>
    <t>●にっぽん／こいのぼり
Ｃ 伝統と文化の尊重，国や郷土を愛する態度
Ｄ 感動，畏敬の念
●和音や低音のはたらき
Ａ 真理の探究</t>
  </si>
  <si>
    <t>●Nice to meet you.
Ｂ 友情，信頼
Ｃ 国際理解，国際親善
●When is your birthday?
Ｂ 友情，信頼
Ｃ 国際理解，国際親善]</t>
  </si>
  <si>
    <t>●Hello!
Ｂ 友情，信頼
Ｃ 国際理解，国際親善
●I have many yo-yos. 
Ｂ 友情，信頼
Ｃ 国際理解，国際親善</t>
  </si>
  <si>
    <t>●Hello, Mr. Sano!
Ｃ よりよい学校生活，集団生活の充実
Ｃ 国際理解，国際親善
●She is a cook.
Ｂ 友情，信頼
Ｃ 国際理解，国際親善</t>
  </si>
  <si>
    <t>●I get up at 7:00.
Ａ 節度，節制
Ｃ 国際理解，国際親善
●世界の時差
Ｃ 国際理解，国際親善</t>
  </si>
  <si>
    <t>●Welcome to Japan!
Ｃ 伝統と文化の尊重，国や郷土を愛する態度
Ｃ 国際理解，国際親善
●It is in the box.
Ｃ 伝統と文化の尊重，国や郷土を愛する態度
Ｃ 国際理解，国際親善
●道案内
Ｂ 親切，思いやり
Ｃ 国際理解，国際親善</t>
  </si>
  <si>
    <t>●What would you like?
Ｂ 礼儀
Ｃ 国際理解，国際親善
●世界の友達２
Ｃ 国際理解，国際親善</t>
  </si>
  <si>
    <t>●He can run fast.She can do kendama. 
Ａ 個性の伸長
Ｃ 国際理解，国際親善
●I want to go to Italy.
Ｃ 国際理解，国際親善</t>
  </si>
  <si>
    <t>●Let's Start／４つのたいせつ／言葉の準備運動／さまざまな場面の英語／アルファベット／教室で使う英語／数字
Ｃ 国際理解，国際親善
●Hello, everyone.
Ｂ 友情，信頼
Ｃ 国際理解，国際親善</t>
  </si>
  <si>
    <t>●I’m Hana.  H-a-n-a.
Ｂ 友情，信頼
Ｃ 国際理解，国際親善
●My birthday is May 10th.
Ｂ 友情，信頼
Ｃ 国際理解，国際親善</t>
  </si>
  <si>
    <t>●Let's Start Together
Ｃ 国際理解，国際親善
●Nice to meet you.
Ｂ 友情，信頼
Ｃ 国際理解，国際親善</t>
  </si>
  <si>
    <t xml:space="preserve">●クラスルーム・イングリッシュ／あいさつをしましょう／アルファベットの確認①／アルファベットの確認②／発音の注意点／数字や時刻の言い方／３・４年生で活動した表現
Ｃ 国際理解，国際親善
●What sport do you like?
Ｂ 友情，信頼
Ｃ 国際理解，国際親善
</t>
  </si>
  <si>
    <t xml:space="preserve">●学校の教室などの言い方・
物の位置を表す言い方・
一日の生活を表す言い方
Ｃ よりよい学校生活，集団生活の充実
Ｃ 国際理解，国際親善
●What time do you get up on Sundays? 
Ｃ 家族愛，家庭生活の充実
Ｃ 国際理解，国際親善
●Project Time 1自己しょうかい
Ｂ 友情，信頼
Ｃ 国際理解，国際親善
</t>
  </si>
  <si>
    <t>●季節と月日
Ｃ 国際理解，国際親善
●英文の書き方
Ｃ 国際理解，国際親善
●When is your birthday?
Ｂ 友情，信頼
Ｃ 国際理解，国際親善</t>
  </si>
  <si>
    <t>●What would you like?
Ｂ 礼儀
Ｃ 国際理解，国際親善
●国の名前と観光名所・
遊ぶ場所や活動
Ｃ 国際理解，国際親善</t>
  </si>
  <si>
    <t>●Where do you want to go? 
Ｃ 国際理解，国際親善
●Who is your hero?
Ｃ 家族愛，家庭生活の充実
Ｃ 国際理解，国際親善</t>
  </si>
  <si>
    <t>●自然を読みとく 
Ａ 真理の探究
●受けつがれる生命（１）花のつくり
Ａ 真理の探究
Ｄ 自然愛護
●受けつがれる生命（２）植物の発芽と成長
Ａ 真理の探究
Ｄ 自然愛護</t>
  </si>
  <si>
    <t>●天気の変化（１）台風と気象情報
Ａ 真理の探究
Ｃ 規則の尊重
●自由研究
Ａ 個性の伸長
Ａ 真理の探究</t>
  </si>
  <si>
    <t>●これまでの学習をつなげよう
Ａ 真理の探究
Ｄ 生命の尊さ
●天気の変化（２）雲と天気の変化
Ａ 真理の探究
Ｄ 自然愛護
●流れる水のはたらき
Ａ 真理の探究
Ｄ 自然愛護</t>
  </si>
  <si>
    <t>●みんなで使う理科室
Ｃ 規則の尊重
●ふりこのきまり
Ａ 真理の探究
Ｂ 相互理解，寛容
Ｃ 規則の尊重</t>
  </si>
  <si>
    <t xml:space="preserve">●雨がとどける春
Ａ 真理の探究
Ｄ 自然愛護
●天気の変化
Ａ 真理の探究
Ｄ 自然愛護
●植物の発芽や成長
Ａ 真理の探究
Ｄ 自然愛護
</t>
  </si>
  <si>
    <t>●花のつくり
Ａ 真理の探究
Ｄ 自然愛護
●台風に備えて
Ａ 真理の探究
Ｃ 規則の尊重</t>
  </si>
  <si>
    <t>●花から実へ
Ａ 真理の探究
Ｄ 自然愛護
●ふりこ
Ａ 真理の探究
Ｂ 相互理解，寛容</t>
  </si>
  <si>
    <t xml:space="preserve">●川と災害
Ａ 真理の探究
Ｃ 規則の尊重
Ｄ 自然愛護
●電流が生み出す力
Ａ 個性の伸長
Ａ 真理の探究
Ｂ 相互理解，寛容
</t>
  </si>
  <si>
    <t>●人のたんじょう
Ａ 真理の探究
Ｄ 生命の尊さ
●受けつがれる生命
Ａ 真理の探究
Ｄ 生命の尊さ</t>
  </si>
  <si>
    <t>●もののとけ方
Ａ 真理の探究
Ｂ 相互理解，寛容
Ｃ 規則の尊重
●広がる科学の世界
Ａ 真理の探究
Ｄ 自然愛護</t>
  </si>
  <si>
    <t xml:space="preserve">●冬から春へ
Ａ 真理の探究
Ｄ 自然愛護
●もののとけ方
Ａ 真理の探究
Ｂ 相互理解，寛容
Ｃ 規則の尊重
</t>
  </si>
  <si>
    <t>●実や種子のでき方
Ａ 真理の探究
Ｄ 自然愛護
●雲と天気の変化
Ａ 真理の探究
Ｄ 自然愛護</t>
  </si>
  <si>
    <t>●台風の接近
Ａ 真理の探究
Ｃ 規則の尊重
●わたしの自由研究
Ａ 個性の伸長
Ａ 真理の探究</t>
  </si>
  <si>
    <t>●天気と情報［2］台風と防災
Ａ 真理の探究
Ｃ 規則の尊重
●自由研究
Ａ 個性の伸長
Ａ 真理の探究</t>
  </si>
  <si>
    <t>●自由研究
Ａ 個性の伸長
Ａ 真理の探究
●生命のつながり［3］植物の実や種子のでき方
Ａ 真理の探究
Ｄ 自然愛護
●流れる水のはたらきと土地の変化
Ａ 真理の探究
Ｄ 自然愛護</t>
  </si>
  <si>
    <t xml:space="preserve">●台風と天気の変化
Ａ 真理の探究
Ｃ 規則の尊重
●流れる水のはたらき
Ａ 真理の探究
Ｄ 自然愛護
</t>
  </si>
  <si>
    <t>●角柱と円柱
Ａ 真理の探究
●活用
Ａ 真理の探究
●算数アドベンチャー
Ａ 真理の探究
●５年のまとめ
Ａ 希望と勇気，努力と強い意志</t>
  </si>
  <si>
    <t xml:space="preserve">●帯グラフと円グラフ
Ａ 真理の探究
●□や△を使った式
Ａ 希望と勇気，努力と強い意志
</t>
  </si>
  <si>
    <t>●割合
Ａ 真理の探究
●正多角形と円
Ａ 真理の探究
Ｃ よりよい学校生活，集団生活の充実</t>
  </si>
  <si>
    <t xml:space="preserve">●平均
Ａ 真理の探究
Ｃ よりよい学校生活，集団生活の充実
●単位量あたりの大きさ
Ａ 真理の探究
Ｃ よりよい学校生活，集団生活の充実
●分数と小数，整数
Ａ 希望と勇気，努力と強い意志
</t>
  </si>
  <si>
    <t>●整数の性質
Ａ 希望と勇気，努力と強い意志
Ａ 真理の探究
●分数のたし算とひき算
Ａ 希望と勇気，努力と強い意志
Ｃ よりよい学校生活，集団生活の充実
●活用
Ａ 真理の探究</t>
  </si>
  <si>
    <t>●小数のわり算
Ａ 真理の探究
Ｃ よりよい学校生活，集団生活の充実
●どんな計算になるか　考えよう
Ａ 真理の探究</t>
  </si>
  <si>
    <t>●体積
Ａ 希望と勇気，努力と強い意志
Ｃ よりよい学校生活，集団生活の充実
●比例
Ａ 真理の探究
●小数のかけ算
Ａ 希望と勇気，努力と強い意志
Ｃ よりよい学校生活，集団生活の充実</t>
  </si>
  <si>
    <t>●整数と小数のしくみ
Ｃ 規則の尊重
●図形の合同と角
Ａ 真理の探究</t>
  </si>
  <si>
    <t>●わくわく算数学習
Ａ 真理の探究
●整数と小数
Ｃ 規則の尊重
●体積
Ａ 希望と勇気，努力と強い意志
Ｃ よりよい学校生活，集団生活の充実</t>
  </si>
  <si>
    <t xml:space="preserve">●比例
Ａ 真理の探究
●復習
Ａ 希望と勇気，努力と強い意志
●小数のかけ算
Ａ 希望と勇気，努力と強い意志
Ｃ よりよい学校生活，集団生活の充実
</t>
  </si>
  <si>
    <t>●小数のわり算
Ａ 真理の探究
Ｃ よりよい学校生活，集団生活の充実
●合同な図形
Ａ 真理の探究</t>
  </si>
  <si>
    <t>●整数
Ａ 希望と勇気，努力と強い意志
Ａ 真理の探究
●分数(1)
Ａ 希望と勇気，努力と強い意志</t>
  </si>
  <si>
    <t>●平均とその利用
Ａ 節度，節制
Ａ 真理の探究
●単位量あたりの大きさ
Ａ 真理の探究
●分数（２）
Ａ 真理の探究
●割合
Ａ 真理の探究</t>
  </si>
  <si>
    <t>●復習
Ａ 希望と勇気，努力と強い意志
●角柱と円柱
Ａ 真理の探究
●速さ
Ａ 真理の探究
Ｄ 感動，畏敬の念
●変わり方
Ａ 節度，節制
Ａ 希望と勇気，努力と強い意志</t>
  </si>
  <si>
    <t>●算数をはじめよう！／算数で使いたい考え方／２つに分けよう
Ａ 真理の探究
Ｃ 規則の尊重
●整数と小数
Ｃ 規則の尊重
●体積
Ａ 希望と勇気，努力と強い意志
Ｃ よりよい学校生活，集団生活の充実</t>
  </si>
  <si>
    <t>●２つの量の変わり方
Ａ 真理の探究
●2000㎝3を作ろう
Ａ 真理の探究
●小数のかけ算
Ａ 希望と勇気，努力と強い意志</t>
  </si>
  <si>
    <t>●合同と三角形、四角形
Ａ 真理の探究
Ｃ 伝統と文化の尊重，国や郷土を愛する態度
●小数のわり算
Ａ 真理の探究</t>
  </si>
  <si>
    <t xml:space="preserve">●整数の見方
Ａ 真理の探究
Ｂ 親切，思いやり
●分数の大きさとたし算，ひき算
Ａ 希望と勇気，努力と強い意志
</t>
  </si>
  <si>
    <t xml:space="preserve">●平均
Ａ 真理の探究
Ｃ よりよい学校生活，集団生活の充実
●奇数と偶数に分けて
Ａ 真理の探究
Ｃ 規則の尊重
●単位量あたりの大きさ
Ａ 真理の探究
Ｄ 感動，畏敬の念
</t>
  </si>
  <si>
    <t xml:space="preserve">●わり算と分数
Ａ 真理の探究
●九九の表を調べよう
Ａ 真理の探究
Ｃ 規則の尊重
●割合
Ａ 真理の探究
</t>
  </si>
  <si>
    <t>●割合とグラフ
Ａ 真理の探究
Ｃ 伝統と文化の尊重，国や郷土を愛する態度
●四角形の関係を調べよう
Ａ 真理の探究
Ｃ 規則の尊重</t>
  </si>
  <si>
    <t xml:space="preserve">●正多角形と円
Ａ 真理の探究
Ｃ よりよい学校生活，集団生活の充実
●角柱と円柱
Ａ 真理の探究
</t>
  </si>
  <si>
    <t>●同じ面積に分けよう
Ａ 個性の伸長
Ａ 真理の探究
●算数を使って考えよう
Ｃ 伝統と文化の尊重，国や郷土を愛する態度
Ｃ 国際理解，国際親善
●5年のまとめ
Ａ 希望と勇気，努力と強い意志</t>
  </si>
  <si>
    <t>●データの活用
Ａ 節度，節制
Ａ 希望と勇気，努力と強い意志
●５年のまとめ
Ａ 希望と勇気，努力と強い意志
●プログラミングのミ
Ａ 真理の探究
Ｃ 規則の尊重
●今の自分を知ろう！
Ａ 真理の探究
Ｃ 伝統と文化の尊重，国や郷土を愛する態度</t>
  </si>
  <si>
    <t>●ふりかえろう つなげよう
Ａ 真理の探究
Ｂ 友情，信頼
●割合(2)
Ａ 真理の探究
●いろいろなグラフ
Ａ 節度，節制
Ａ 真理の探究
●立体
Ａ 真理の探究</t>
  </si>
  <si>
    <t>●正多角形と円
Ａ 真理の探究
Ｃ 伝統と文化の尊重，国や郷土を愛する態度
Ｄ 感動，畏敬の念
●体積
Ａ 希望と勇気，努力と強い意志</t>
  </si>
  <si>
    <t>●割合(1)
Ａ 真理の探究
Ｄ 感動，畏敬の念
●図形の面積　
Ａ 真理の探究</t>
  </si>
  <si>
    <t>●ふりかえろう つなげよう
Ａ 真理の探究
Ｂ 友情，信頼
●分数のたし算とひき算
Ａ 希望と勇気，努力と強い意志
●分数と小数・整数
Ａ 真理の探究</t>
  </si>
  <si>
    <t>●ひまわりを育てよう
Ａ 真理の探究
●単位量あたりの大きさ(2)
Ａ 真理の探究
Ｄ 感動，畏敬の念
●アクティブ!!
Ａ 真理の探究
Ｃ 規則の尊重</t>
  </si>
  <si>
    <t xml:space="preserve">●ふりかえろう つなげよう
Ａ 真理の探究
Ｂ 友情，信頼
●小数のかけ算
Ａ 希望と勇気，努力と強い意志
●小数のわり算
Ａ 真理の探究
Ｃ よりよい学校生活，集団生活の充実
</t>
  </si>
  <si>
    <t>●小数と整数
Ｃ 規則の尊重
●合同な図形
Ａ 真理の探究</t>
  </si>
  <si>
    <t xml:space="preserve">●比例
Ａ 真理の探究
●平均
Ａ 真理の探究
●単位量あたりの大きさ(1)
Ａ 節度，節制
Ａ 真理の探究
</t>
  </si>
  <si>
    <t xml:space="preserve">●整数と小数
Ｃ 規則の尊重
Ｃ 国際理解，国際親善
Ｄ 感動，畏敬の念
●図形の角の大きさ
Ａ 真理の探究
Ｃ よりよい学校生活，集団生活の充実
●２つの量の変わり方
Ａ 真理の探究
●小数のかけ算
Ａ 希望と勇気，努力と強い意志
Ｃ よりよい学校生活，集団生活の充実
</t>
  </si>
  <si>
    <t>●体積
Ａ 希望と勇気，努力と強い意志
Ｃ よりよい学校生活，集団生活の充実
●小数のわり算
Ａ 真理の探究
Ｃ よりよい学校生活，集団生活の充実</t>
  </si>
  <si>
    <t>●整数の性質
Ａ 真理の探究
Ｂ 親切，思いやり
●ビンゴにならないためには
Ａ 真理の探究
Ｂ 友情，信頼
●分数のたし算とひき算
Ａ 希望と勇気，努力と強い意志
●分数で音楽づくり 
Ｃ 規則の尊重
●平均
Ａ 真理の探究</t>
  </si>
  <si>
    <t>●単位量あたりの大きさ
Ａ 真理の探究
Ｃ 伝統と文化の尊重，国や郷土を愛する態度
●分数と小数、整数
Ａ 真理の探究
●割合
Ａ 真理の探究
Ｄ 感動，畏敬の念
●どの割引券を使おうかな
Ａ 真理の探究
Ｃ 規則の尊重</t>
  </si>
  <si>
    <t>●帯グラフと円グラフ
Ａ 真理の探究
Ｃ よりよい学校生活，集団生活の充実
Ｃ 国際理解，国際親善
●正多角形と円
Ａ 真理の探究
Ｃ 伝統と文化の尊重，国や郷土を愛する態度
Ｄ 感動，畏敬の念
●どんな計算するのかな
Ａ 真理の探究
Ｃ 規則の尊重</t>
  </si>
  <si>
    <t>●四角形と三角形の面積
Ａ 希望と勇気，努力と強い意志
●面積は変わるかな
Ａ 真理の探究</t>
  </si>
  <si>
    <t>●速さ
Ａ 真理の探究
Ｃ 伝統と文化の尊重，国や郷土を愛する態度
●角柱と円柱
Ａ 真理の探究
Ｃ 伝統と文化の尊重，国や郷土を愛する態度</t>
  </si>
  <si>
    <t xml:space="preserve">●学びのとびら
Ａ 個性の伸長
Ａ 真理の探究
●整数と小数のしくみをまとめよう
Ｃ 規則の尊重
Ｃ 伝統と文化の尊重，国や郷土を愛する態度
●直方体や立方体のかさの表し方を考えよう
Ａ 希望と勇気，努力と強い意志
Ｃ よりよい学校生活，集団生活の充実
</t>
  </si>
  <si>
    <t>●変わり方を調べよう(1)
Ａ 真理の探究
●かけ算の世界を広げよう
Ａ 希望と勇気，努力と強い意志</t>
  </si>
  <si>
    <t>●わり算の世界を広げよう
Ａ 真理の探究
●小数の倍
Ａ 真理の探究</t>
  </si>
  <si>
    <t xml:space="preserve">●図形の角を調べよう
Ａ 真理の探究
●整数の性質を調べよう
Ａ 希望と勇気，努力と強い意志
Ａ 真理の探究
</t>
  </si>
  <si>
    <t>●分数と小数、整数の関係を調べよう
Ａ 真理の探究
●考える力をのばそう
Ａ 真理の探究
●算数で読みとこう
Ａ 真理の探究
Ｃ 国際理解，国際親善
●分数のたし算、ひき算を広げよう
Ａ 希望と勇気，努力と強い意志
Ｃ よりよい学校生活，集団生活の充実</t>
  </si>
  <si>
    <t>●ならした大きさを考えよう
Ａ 真理の探究
●比べ方を考えよう(1)
Ａ 真理の探究
Ｄ 感動，畏敬の念</t>
  </si>
  <si>
    <t>●比べ方を考えよう(2)
Ａ 真理の探究
Ｄ 自然愛護
●割合をグラフに表して調べよう
Ａ 真理の探究
Ｃ よりよい学校生活，集団生活の充実</t>
  </si>
  <si>
    <t>●変わり方を調べよう(2)
Ａ 希望と勇気，努力と強い意志
●多角形と円をくわしく調べよう
Ａ 真理の探究
Ｄ 感動，畏敬の念
●立体をくわしく調べよう
Ａ 真理の探究
Ｃ 伝統と文化の尊重，国や郷土を愛する態度</t>
  </si>
  <si>
    <t xml:space="preserve">●日本の地形や気候
Ｃ 伝統と文化の尊重，国や郷土を愛する態度
●さまざまな土地のくらし
Ａ 希望と勇気，努力と強い意志
Ｂ 友情，信頼
Ｃ 勤労，公共の精神
Ｃ 伝統と文化の尊重，国や郷土を愛する態度
Ｄ 自然愛護
</t>
  </si>
  <si>
    <t>●わたしたちの食生活を支える食料生産／大単元の導入
Ｃ 伝統と文化の尊重，国や郷土を愛する態度
●食生活を支える食料の産地
Ｃ 伝統と文化の尊重，国や郷土を愛する態度
●米作りのさかんな地域
Ａ 希望と勇気，努力と強い意志
Ａ 真理の探究
Ｂ 親切，思いやり
Ｂ 友情，信頼
Ｃ 勤労，公共の精神
Ｃ 伝統と文化の尊重，国や郷土を愛する態度
Ｃ 国際理解，国際親善
Ｄ 自然愛護</t>
  </si>
  <si>
    <t xml:space="preserve">●工業生産とわたしたちのくらし／大単元の導入
Ａ 真理の探究
●くらしや産業を支える工業生産
Ｃ 伝統と文化の尊重，国や郷土を愛する態度
●自動車工業のさかんな地域
Ａ 希望と勇気，努力と強い意志
Ａ 真理の探究
Ｂ 親切，思いやり
Ｃ 勤労，公共の精神
Ｃ 伝統と文化の尊重，国や郷土を愛する態度
Ｃ 国際理解，国際親善
Ｄ 自然愛護
</t>
  </si>
  <si>
    <t>●日本の貿易とこれからの工業生産
Ａ 節度，節制
Ａ 真理の探究
Ｂ 友情，信頼
Ｂ 相互理解，寛容
Ｃ 伝統と文化の尊重，国や郷土を愛する態度
Ｃ 国際理解，国際親善
Ｄ 自然愛護
●情報社会に生きるわたしたち／大単元の導入
Ｃ 公正，公平，社会正義
●情報をつくり、伝える
Ａ 善悪の判断，自律，自由と責任
Ａ 節度，節制
Ａ 希望と勇気，努力と強い意志
Ｃ 公正，公平，社会正義</t>
  </si>
  <si>
    <t>●国土の環境を守る／大単元の導入
Ｄ 自然愛護
●環境とわたしたちのくらし
Ａ 希望と勇気，努力と強い意志
Ｃ 公正，公平，社会正義
Ｃ 勤労，公共の精神
Ｃ 伝統と文化の尊重，国や郷土を愛する態度
Ｄ 自然愛護
●森林とわたしたちのくらし
Ａ 希望と勇気，努力と強い意志
Ｃ 勤労，公共の精神
Ｃ 伝統と文化の尊重，国や郷土を愛する態度
Ｄ 自然愛護</t>
  </si>
  <si>
    <t>●日本の国土とわたしたちのくらし／オリエンテーション
Ｃ 伝統と文化の尊重，国や郷土を愛する態度
●日本の国土と世界の国々
Ａ 善悪の判断，自律，自由と責任
Ｂ 相互理解，寛容
Ｃ 伝統と文化の尊重，国や郷土を愛する態度
Ｃ 国際理解，国際親善
●国土の気候と地形の特色
Ｃ 伝統と文化の尊重，国や郷土を愛する態度</t>
  </si>
  <si>
    <t xml:space="preserve">●これからの食料生産
Ａ 節度，節制
Ａ 真理の探究
Ｂ 友情，信頼
Ｃ 国際理解，国際親善
Ｄ 自然愛護
Ｄ よりよく生きる喜び
●未来をつくり出す工業生産／オリエンテーション
Ａ 真理の探究
</t>
  </si>
  <si>
    <t>●自動車の生産にはげむ人々
Ａ 真理の探究
Ｂ 親切，思いやり
Ｂ 友情，信頼
Ｂ 相互理解，寛容
Ｄ 自然愛護
Ｄ よりよく生きる喜び
●日本の工業生産と貿易・運輸
Ｂ 相互理解，寛容
Ｃ 勤労，公共の精神
Ｃ 国際理解，国際親善</t>
  </si>
  <si>
    <t>●くらしと産業を変える情報通信技術
Ａ 善悪の判断，自律，自由と責任
Ａ 節度，節制
Ｂ 親切，思いやり
Ｃ よりよい学校生活，集団生活の充実
Ｄ よりよく生きる喜び
●国土の自然とともに生きる／オリエンテーション
Ｄ 自然愛護
●自然災害とともに生きる
Ａ 希望と勇気，努力と強い意志
Ｂ 友情，信頼
Ｃ 伝統と文化の尊重，国や郷土を愛する態度
Ｄ 生命の尊さ</t>
  </si>
  <si>
    <t>●わたしたちの国土／導入
Ｃ 伝統と文化の尊重，国や郷土を愛する態度
●世界の中の国土
Ｃ 伝統と文化の尊重，国や郷土を愛する態度
Ｃ 国際理解，国際親善
●国土の地形の特色
Ｃ 伝統と文化の尊重，国や郷土を愛する態度</t>
  </si>
  <si>
    <t xml:space="preserve">●低い土地のくらし/高い土地のくらし（選択）
Ａ 希望と勇気，努力と強い意志
Ｂ 友情，信頼
Ｃ 伝統と文化の尊重，国や郷土を愛する態度
Ｄ 生命の尊さ
●国土の気候の特色
Ｃ 伝統と文化の尊重，国や郷土を愛する態度
</t>
  </si>
  <si>
    <t>●水産業のさかんな地域
Ａ 希望と勇気，努力と強い意志
Ｂ 友情，信頼
Ｃ 勤労，公共の精神
Ｃ 伝統と文化の尊重，国や郷土を愛する態度
Ｄ 自然愛護
●これからの食料生産とわたしたち
Ａ 希望と勇気，努力と強い意志
Ｃ 伝統と文化の尊重，国や郷土を愛する態度
Ｃ 国際理解，国際親善
Ｄ 自然愛護
Ｄ よりよく生きる喜び</t>
  </si>
  <si>
    <t xml:space="preserve">●わたしたちの生活と工業生産／導入
Ａ 真理の探究
●くらしを支える工業生産
Ｃ 伝統と文化の尊重，国や郷土を愛する態度
●自動車をつくる工業
Ａ 希望と勇気，努力と強い意志
Ａ 真理の探究
Ｂ 親切，思いやり
Ｂ 友情，信頼
Ｃ 伝統と文化の尊重，国や郷土を愛する態度
Ｄ 自然愛護
</t>
  </si>
  <si>
    <t xml:space="preserve">●工業生産を支える輸送と貿易
Ａ 希望と勇気，努力と強い意志
Ｂ 親切，思いやり
Ｂ 相互理解，寛容
Ｃ 伝統と文化の尊重，国や郷土を愛する態度
Ｃ 国際理解，国際親善
●これからの工業生産とわたしたち
Ａ 希望と勇気，努力と強い意志
Ａ 真理の探究
Ｂ 友情，信頼
Ｃ 勤労，公共の精神
Ｃ 伝統と文化の尊重，国や郷土を愛する態度
Ｄ よりよく生きる喜び
</t>
  </si>
  <si>
    <t>●情報を生かす産業
Ａ 希望と勇気，努力と強い意志
Ａ 真理の探究
Ｂ 親切，思いやり
Ｃ よりよい学校生活，集団生活の充実
●情報を生かすわたしたち
Ａ 善悪の判断，自律，自由と責任
Ａ 節度，節制
Ｂ 親切，思いやり
Ｂ 相互理解，寛容
Ｃ 規則の尊重
Ｃ よりよい学校生活，集団生活の充実</t>
  </si>
  <si>
    <t xml:space="preserve">●わたしたちの生活と環境／導入
Ｄ 自然愛護
●自然災害を防ぐ
Ａ 希望と勇気，努力と強い意志
Ｂ 親切，思いやり
Ｃ 伝統と文化の尊重，国や郷土を愛する態度
Ｄ 自然愛護
●わたしたちの生活と森林
Ａ 希望と勇気，努力と強い意志
Ｂ 友情，信頼
Ｃ 勤労，公共の精神
Ｃ 伝統と文化の尊重，国や郷土を愛する態度
Ｄ 自然愛護
Ｄ よりよく生きる喜び
</t>
  </si>
  <si>
    <t>●環境を守るわたしたち
Ａ 希望と勇気，努力と強い意志
Ｃ 規則の尊重
Ｃ 勤労，公共の精神
Ｃ 伝統と文化の尊重，国や郷土を愛する態度
Ｄ 自然愛護
Ｄ よりよく生きる喜び
●いかす
Ｄ 自然愛護</t>
  </si>
  <si>
    <t>●資料を見て考えたことを話そう 
Ａ 真理の探究
●日本語と外国語
Ｃ 伝統と文化の尊重，国や郷土を愛する態度
Ｃ 国際理解，国際親善
●手塚治虫
Ａ 個性の伸長
Ａ 希望と勇気，努力と強い意志
Ａ 真理の探究
Ｃ 伝統と文化の尊重，国や郷土を愛する態度
Ｄ 生命の尊さ</t>
  </si>
  <si>
    <t>●新聞を読もう
Ａ 希望と勇気，努力と強い意志
Ａ 真理の探究
●「情報ノート」を作ろう
Ａ 真理の探究
●漢字の広場①　漢字学習ノート／四年生で学んだ漢字①
Ａ 希望と勇気，努力と強い意志
●人とねずみの「はい、チーズ！」／ 言葉と事実
Ａ 真理の探究
Ｂ 親切，思いやり
Ｂ 相互理解，寛容
Ｃ 公正，公平，社会正義</t>
  </si>
  <si>
    <t>●漢字の読み方と使い方
Ｃ 規則の尊重
Ｃ 伝統と文化の尊重，国や郷土を愛する態度
●秋の夕暮れ
Ｃ 伝統と文化の尊重，国や郷土を愛する態度
Ｄ 自然愛護
●よりよい学校生活のために
Ｃ よりよい学校生活，集団生活の充実
●意見が対立したときには
Ｂ 相互理解，寛容
●漢字の広場③
Ａ 個性の伸長
●固有種が教えてくれること
Ａ 善悪の判断，自律，自由と責任
Ａ 真理の探究
Ｄ 自然愛護
●統計資料の読み方
Ａ 真理の探究
●グラフや表を用いて書こう
Ａ 個性の伸長
Ａ 真理の探究</t>
  </si>
  <si>
    <t xml:space="preserve">●図形の角
Ａ 真理の探究
●倍数と約数
Ａ 真理の探究
Ｃ よりよい学校生活，集団生活の充実
</t>
  </si>
  <si>
    <t>●円と正多角形
Ａ 真理の探究
●割合のグラフ
Ａ 真理の探究
Ｃ よりよい学校生活，集団生活の充実</t>
  </si>
  <si>
    <t>●漢字の広場１
Ａ 希望と勇気，努力と強い意志
●物語の人物が答えます／注文の多い料理店／読書の部屋
Ａ 善悪の判断，自律，自由と責任
Ｂ 親切，思いやり
Ｂ 友情，信頼
Ｃ 公正，公平，社会正義
Ｃ よりよい学校生活，集団生活の充実</t>
  </si>
  <si>
    <t xml:space="preserve">●和語・漢語・外来語 
Ｃ よりよい学校生活，集団生活の充実
Ｃ 伝統と文化の尊重，国や郷土を愛する態度
●漢字の広場⑤　同じ音の漢字／四年生で学んだ漢字⑤
Ｃ 規則の尊重
●まんがの方法／ひみつを調べて発表しよう
Ａ 真理の探究
Ｂ 親切，思いやり
Ｃ 公正，公平，社会正義
</t>
  </si>
  <si>
    <t xml:space="preserve">●あたたかい土地のくらし/寒い土地のくらし（選択）
Ａ 希望と勇気，努力と強い意志
Ｂ 友情，信頼
Ｃ よりよい学校生活，集団生活の充実
Ｃ 伝統と文化の尊重，国や郷土を愛する態度
Ｄ 自然愛護
●わたしたちの生活と食料生産／導入
Ｃ 伝統と文化の尊重，国や郷土を愛する態度
●くらしを支える食料生産
Ｃ 伝統と文化の尊重，国や郷土を愛する態度
Ｃ 国際理解，国際親善
</t>
  </si>
  <si>
    <t>５年　全体計画例別葉（教科領域等と道徳との関連計画表）【時系列】　　2020年～2023年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</si>
</sst>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6">
    <font>
      <sz val="11"/>
      <color theme="1"/>
      <name val="Calibri"/>
      <family val="3"/>
    </font>
    <font>
      <sz val="11"/>
      <color indexed="8"/>
      <name val="ＭＳ Ｐゴシック"/>
      <family val="3"/>
    </font>
    <font>
      <sz val="6"/>
      <name val="ＭＳ Ｐゴシック"/>
      <family val="3"/>
    </font>
    <font>
      <sz val="6"/>
      <name val="ヒラギノ角ゴ ProN W3"/>
      <family val="3"/>
    </font>
    <font>
      <sz val="8"/>
      <name val="ＭＳ ゴシック"/>
      <family val="3"/>
    </font>
    <font>
      <sz val="6"/>
      <name val="ＭＳ 明朝"/>
      <family val="1"/>
    </font>
    <font>
      <sz val="6"/>
      <color indexed="8"/>
      <name val="ＭＳ 明朝"/>
      <family val="1"/>
    </font>
    <font>
      <sz val="11"/>
      <name val="ＭＳ 明朝"/>
      <family val="1"/>
    </font>
    <font>
      <b/>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11"/>
      <color indexed="8"/>
      <name val="ＭＳ ゴシック"/>
      <family val="3"/>
    </font>
    <font>
      <b/>
      <sz val="11"/>
      <name val="ＭＳ Ｐゴシック"/>
      <family val="3"/>
    </font>
    <font>
      <sz val="6"/>
      <name val="游ゴシック"/>
      <family val="3"/>
    </font>
    <font>
      <sz val="11"/>
      <color indexed="8"/>
      <name val="游ゴシック"/>
      <family val="3"/>
    </font>
    <font>
      <sz val="18"/>
      <color indexed="56"/>
      <name val="ＭＳ Ｐゴシック"/>
      <family val="3"/>
    </font>
    <font>
      <sz val="12"/>
      <color indexed="8"/>
      <name val="ＭＳ ゴシック"/>
      <family val="3"/>
    </font>
    <font>
      <sz val="9"/>
      <color indexed="8"/>
      <name val="ＭＳ 明朝"/>
      <family val="1"/>
    </font>
    <font>
      <sz val="8"/>
      <color indexed="8"/>
      <name val="ＭＳ 明朝"/>
      <family val="1"/>
    </font>
    <font>
      <sz val="8"/>
      <color indexed="8"/>
      <name val="ＭＳ ゴシック"/>
      <family val="3"/>
    </font>
    <font>
      <sz val="9"/>
      <color indexed="8"/>
      <name val="ＭＳ ゴシック"/>
      <family val="3"/>
    </font>
    <font>
      <sz val="7"/>
      <color indexed="8"/>
      <name val="ＭＳ ゴシック"/>
      <family val="3"/>
    </font>
    <font>
      <sz val="6"/>
      <color indexed="10"/>
      <name val="ＭＳ 明朝"/>
      <family val="1"/>
    </font>
    <font>
      <sz val="6"/>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ＭＳ ゴシック"/>
      <family val="3"/>
    </font>
    <font>
      <sz val="9"/>
      <color theme="1"/>
      <name val="ＭＳ 明朝"/>
      <family val="1"/>
    </font>
    <font>
      <sz val="8"/>
      <color theme="1"/>
      <name val="ＭＳ 明朝"/>
      <family val="1"/>
    </font>
    <font>
      <sz val="8"/>
      <color theme="1"/>
      <name val="ＭＳ ゴシック"/>
      <family val="3"/>
    </font>
    <font>
      <sz val="6"/>
      <color theme="1"/>
      <name val="ＭＳ 明朝"/>
      <family val="1"/>
    </font>
    <font>
      <sz val="11"/>
      <color theme="1"/>
      <name val="ＭＳ ゴシック"/>
      <family val="3"/>
    </font>
    <font>
      <sz val="9"/>
      <color theme="1"/>
      <name val="ＭＳ ゴシック"/>
      <family val="3"/>
    </font>
    <font>
      <b/>
      <sz val="11"/>
      <color theme="1"/>
      <name val="Cambria"/>
      <family val="3"/>
    </font>
    <font>
      <sz val="7"/>
      <color theme="1"/>
      <name val="ＭＳ ゴシック"/>
      <family val="3"/>
    </font>
    <font>
      <sz val="6"/>
      <color rgb="FFFF0000"/>
      <name val="ＭＳ 明朝"/>
      <family val="1"/>
    </font>
    <font>
      <sz val="6"/>
      <color rgb="FFFF00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thin"/>
      <top style="thin"/>
      <bottom/>
    </border>
    <border>
      <left/>
      <right style="hair"/>
      <top style="double"/>
      <bottom style="hair"/>
    </border>
    <border>
      <left style="hair"/>
      <right style="hair"/>
      <top style="double"/>
      <bottom style="hair"/>
    </border>
    <border>
      <left style="hair"/>
      <right style="thin"/>
      <top style="double"/>
      <bottom style="hair"/>
    </border>
    <border>
      <left style="hair"/>
      <right style="hair"/>
      <top style="hair"/>
      <bottom style="hair"/>
    </border>
    <border>
      <left style="hair"/>
      <right style="hair"/>
      <top style="hair"/>
      <bottom/>
    </border>
    <border>
      <left/>
      <right style="hair"/>
      <top style="hair"/>
      <bottom style="thin"/>
    </border>
    <border>
      <left style="hair"/>
      <right style="hair"/>
      <top style="hair"/>
      <bottom style="thin"/>
    </border>
    <border>
      <left style="hair"/>
      <right style="thin"/>
      <top style="hair"/>
      <bottom style="thin"/>
    </border>
    <border>
      <left style="hair"/>
      <right style="thin"/>
      <top style="hair"/>
      <bottom style="hair"/>
    </border>
    <border>
      <left style="hair"/>
      <right style="thin"/>
      <top style="hair"/>
      <bottom/>
    </border>
    <border>
      <left/>
      <right style="hair"/>
      <top style="hair"/>
      <bottom style="hair"/>
    </border>
    <border>
      <left/>
      <right style="hair"/>
      <top style="hair"/>
      <bottom/>
    </border>
    <border>
      <left/>
      <right style="hair"/>
      <top style="hair"/>
      <bottom style="double"/>
    </border>
    <border>
      <left style="hair"/>
      <right style="hair"/>
      <top style="hair"/>
      <bottom style="double"/>
    </border>
    <border>
      <left style="hair"/>
      <right style="thin"/>
      <top style="hair"/>
      <bottom style="double"/>
    </border>
    <border>
      <left style="hair"/>
      <right style="hair"/>
      <top style="thin"/>
      <bottom style="hair"/>
    </border>
    <border>
      <left style="hair"/>
      <right style="thin"/>
      <top style="thin"/>
      <bottom style="hair"/>
    </border>
    <border>
      <left style="thin"/>
      <right style="hair"/>
      <top style="hair"/>
      <bottom style="hair"/>
    </border>
    <border>
      <left/>
      <right style="hair"/>
      <top style="thin"/>
      <bottom style="hair"/>
    </border>
    <border>
      <left style="thin"/>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hair"/>
    </border>
    <border>
      <left/>
      <right style="thin"/>
      <top style="thin"/>
      <bottom style="thin"/>
    </border>
    <border>
      <left/>
      <right style="thin"/>
      <top style="double"/>
      <bottom style="hair"/>
    </border>
    <border>
      <left/>
      <right style="thin"/>
      <top style="hair"/>
      <bottom style="hair"/>
    </border>
    <border>
      <left/>
      <right style="thin"/>
      <top style="hair"/>
      <bottom style="double"/>
    </border>
    <border>
      <left/>
      <right style="thin"/>
      <top style="hair"/>
      <bottom/>
    </border>
    <border>
      <left/>
      <right style="thin"/>
      <top style="hair"/>
      <bottom style="thin"/>
    </border>
    <border>
      <left style="thin"/>
      <right style="hair"/>
      <top style="hair"/>
      <bottom style="thin"/>
    </border>
    <border>
      <left style="thin"/>
      <right style="thin"/>
      <top style="thin"/>
      <bottom/>
    </border>
    <border>
      <left style="thin"/>
      <right/>
      <top style="thin"/>
      <bottom/>
    </border>
    <border>
      <left>
        <color indexed="63"/>
      </left>
      <right style="thin"/>
      <top style="thin"/>
      <bottom/>
    </border>
    <border>
      <left style="thin"/>
      <right style="thin"/>
      <top/>
      <bottom/>
    </border>
    <border>
      <left style="thin"/>
      <right/>
      <top/>
      <bottom/>
    </border>
    <border>
      <left>
        <color indexed="63"/>
      </left>
      <right style="thin"/>
      <top/>
      <bottom/>
    </border>
    <border>
      <left style="thin"/>
      <right style="thin"/>
      <top/>
      <bottom style="thin"/>
    </border>
    <border>
      <left style="thin"/>
      <right/>
      <top/>
      <bottom style="thin"/>
    </border>
    <border>
      <left>
        <color indexed="63"/>
      </left>
      <right style="thin"/>
      <top/>
      <bottom style="thin"/>
    </border>
    <border>
      <left style="hair"/>
      <right style="thin"/>
      <top style="thin"/>
      <bottom style="double"/>
    </border>
    <border>
      <left style="thin"/>
      <right style="thin"/>
      <top style="thin"/>
      <bottom style="double"/>
    </border>
    <border>
      <left style="thin"/>
      <right style="hair"/>
      <top>
        <color indexed="63"/>
      </top>
      <bottom style="hair"/>
    </border>
    <border>
      <left style="hair"/>
      <right/>
      <top style="hair"/>
      <bottom style="hair"/>
    </border>
    <border>
      <left style="hair"/>
      <right style="thin"/>
      <top>
        <color indexed="63"/>
      </top>
      <bottom style="hair"/>
    </border>
    <border>
      <left>
        <color indexed="63"/>
      </left>
      <right>
        <color indexed="63"/>
      </right>
      <top style="thin"/>
      <bottom>
        <color indexed="63"/>
      </bottom>
    </border>
    <border>
      <left style="thin"/>
      <right/>
      <top style="double"/>
      <bottom style="hair"/>
    </border>
    <border>
      <left/>
      <right/>
      <top style="double"/>
      <bottom style="hair"/>
    </border>
    <border>
      <left style="thin"/>
      <right/>
      <top style="hair"/>
      <bottom style="thin"/>
    </border>
    <border>
      <left/>
      <right/>
      <top style="hair"/>
      <bottom style="thin"/>
    </border>
    <border>
      <left style="thin"/>
      <right style="hair"/>
      <top style="double"/>
      <bottom/>
    </border>
    <border>
      <left style="thin"/>
      <right style="hair"/>
      <top/>
      <bottom/>
    </border>
    <border>
      <left style="thin"/>
      <right style="hair"/>
      <top/>
      <bottom style="double"/>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
      <left style="thin"/>
      <right/>
      <top style="thin"/>
      <bottom style="double"/>
    </border>
    <border>
      <left/>
      <right style="hair"/>
      <top style="thin"/>
      <bottom style="double"/>
    </border>
    <border>
      <left style="thin"/>
      <right style="hair"/>
      <top style="hair"/>
      <bottom/>
    </border>
    <border>
      <left style="hair"/>
      <right/>
      <top style="hair"/>
      <bottom style="double"/>
    </border>
    <border>
      <left/>
      <right style="hair"/>
      <top style="thin"/>
      <bottom/>
    </border>
    <border>
      <left style="hair"/>
      <right style="hair"/>
      <top style="thin"/>
      <bottom/>
    </border>
    <border>
      <left style="hair"/>
      <right/>
      <top style="thin"/>
      <bottom/>
    </border>
    <border>
      <left style="hair"/>
      <right/>
      <top/>
      <bottom/>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9" fillId="17" borderId="0" applyNumberFormat="0" applyBorder="0" applyAlignment="0" applyProtection="0"/>
    <xf numFmtId="0" fontId="38" fillId="27" borderId="0" applyNumberFormat="0" applyBorder="0" applyAlignment="0" applyProtection="0"/>
    <xf numFmtId="0" fontId="9" fillId="19" borderId="0" applyNumberFormat="0" applyBorder="0" applyAlignment="0" applyProtection="0"/>
    <xf numFmtId="0" fontId="38" fillId="28" borderId="0" applyNumberFormat="0" applyBorder="0" applyAlignment="0" applyProtection="0"/>
    <xf numFmtId="0" fontId="9" fillId="29" borderId="0" applyNumberFormat="0" applyBorder="0" applyAlignment="0" applyProtection="0"/>
    <xf numFmtId="0" fontId="38" fillId="30" borderId="0" applyNumberFormat="0" applyBorder="0" applyAlignment="0" applyProtection="0"/>
    <xf numFmtId="0" fontId="9" fillId="31" borderId="0" applyNumberFormat="0" applyBorder="0" applyAlignment="0" applyProtection="0"/>
    <xf numFmtId="0" fontId="38" fillId="32" borderId="0" applyNumberFormat="0" applyBorder="0" applyAlignment="0" applyProtection="0"/>
    <xf numFmtId="0" fontId="9" fillId="33" borderId="0" applyNumberFormat="0" applyBorder="0" applyAlignment="0" applyProtection="0"/>
    <xf numFmtId="0" fontId="38" fillId="34" borderId="0" applyNumberFormat="0" applyBorder="0" applyAlignment="0" applyProtection="0"/>
    <xf numFmtId="0" fontId="9" fillId="35" borderId="0" applyNumberFormat="0" applyBorder="0" applyAlignment="0" applyProtection="0"/>
    <xf numFmtId="0" fontId="38" fillId="36" borderId="0" applyNumberFormat="0" applyBorder="0" applyAlignment="0" applyProtection="0"/>
    <xf numFmtId="0" fontId="9" fillId="37" borderId="0" applyNumberFormat="0" applyBorder="0" applyAlignment="0" applyProtection="0"/>
    <xf numFmtId="0" fontId="38" fillId="38" borderId="0" applyNumberFormat="0" applyBorder="0" applyAlignment="0" applyProtection="0"/>
    <xf numFmtId="0" fontId="9" fillId="39" borderId="0" applyNumberFormat="0" applyBorder="0" applyAlignment="0" applyProtection="0"/>
    <xf numFmtId="0" fontId="38" fillId="40" borderId="0" applyNumberFormat="0" applyBorder="0" applyAlignment="0" applyProtection="0"/>
    <xf numFmtId="0" fontId="9" fillId="29" borderId="0" applyNumberFormat="0" applyBorder="0" applyAlignment="0" applyProtection="0"/>
    <xf numFmtId="0" fontId="38" fillId="41" borderId="0" applyNumberFormat="0" applyBorder="0" applyAlignment="0" applyProtection="0"/>
    <xf numFmtId="0" fontId="9" fillId="31" borderId="0" applyNumberFormat="0" applyBorder="0" applyAlignment="0" applyProtection="0"/>
    <xf numFmtId="0" fontId="38"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44" borderId="1" applyNumberFormat="0" applyAlignment="0" applyProtection="0"/>
    <xf numFmtId="0" fontId="11" fillId="45" borderId="2" applyNumberFormat="0" applyAlignment="0" applyProtection="0"/>
    <xf numFmtId="0" fontId="41" fillId="46" borderId="0" applyNumberFormat="0" applyBorder="0" applyAlignment="0" applyProtection="0"/>
    <xf numFmtId="0" fontId="12"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42" fillId="0" borderId="5" applyNumberFormat="0" applyFill="0" applyAlignment="0" applyProtection="0"/>
    <xf numFmtId="0" fontId="13" fillId="0" borderId="6" applyNumberFormat="0" applyFill="0" applyAlignment="0" applyProtection="0"/>
    <xf numFmtId="0" fontId="43" fillId="50" borderId="0" applyNumberFormat="0" applyBorder="0" applyAlignment="0" applyProtection="0"/>
    <xf numFmtId="0" fontId="14" fillId="5" borderId="0" applyNumberFormat="0" applyBorder="0" applyAlignment="0" applyProtection="0"/>
    <xf numFmtId="0" fontId="44" fillId="51" borderId="7" applyNumberFormat="0" applyAlignment="0" applyProtection="0"/>
    <xf numFmtId="0" fontId="8" fillId="52" borderId="8" applyNumberFormat="0" applyAlignment="0" applyProtection="0"/>
    <xf numFmtId="0" fontId="45"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9" applyNumberFormat="0" applyFill="0" applyAlignment="0" applyProtection="0"/>
    <xf numFmtId="0" fontId="16" fillId="0" borderId="10" applyNumberFormat="0" applyFill="0" applyAlignment="0" applyProtection="0"/>
    <xf numFmtId="0" fontId="47" fillId="0" borderId="11" applyNumberFormat="0" applyFill="0" applyAlignment="0" applyProtection="0"/>
    <xf numFmtId="0" fontId="17" fillId="0" borderId="12" applyNumberFormat="0" applyFill="0" applyAlignment="0" applyProtection="0"/>
    <xf numFmtId="0" fontId="48" fillId="0" borderId="13" applyNumberFormat="0" applyFill="0" applyAlignment="0" applyProtection="0"/>
    <xf numFmtId="0" fontId="18" fillId="0" borderId="14" applyNumberFormat="0" applyFill="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0" borderId="15" applyNumberFormat="0" applyFill="0" applyAlignment="0" applyProtection="0"/>
    <xf numFmtId="0" fontId="19" fillId="0" borderId="16" applyNumberFormat="0" applyFill="0" applyAlignment="0" applyProtection="0"/>
    <xf numFmtId="0" fontId="50" fillId="51" borderId="17" applyNumberFormat="0" applyAlignment="0" applyProtection="0"/>
    <xf numFmtId="0" fontId="20" fillId="52" borderId="18" applyNumberFormat="0" applyAlignment="0" applyProtection="0"/>
    <xf numFmtId="0" fontId="51"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53" borderId="7" applyNumberFormat="0" applyAlignment="0" applyProtection="0"/>
    <xf numFmtId="0" fontId="22" fillId="13" borderId="8" applyNumberFormat="0" applyAlignment="0" applyProtection="0"/>
    <xf numFmtId="0" fontId="23" fillId="0" borderId="0">
      <alignment/>
      <protection/>
    </xf>
    <xf numFmtId="0" fontId="0" fillId="0" borderId="0">
      <alignment vertical="center"/>
      <protection/>
    </xf>
    <xf numFmtId="0" fontId="1" fillId="0" borderId="0">
      <alignment vertical="center"/>
      <protection/>
    </xf>
    <xf numFmtId="0" fontId="53" fillId="54" borderId="0" applyNumberFormat="0" applyBorder="0" applyAlignment="0" applyProtection="0"/>
    <xf numFmtId="0" fontId="24" fillId="7" borderId="0" applyNumberFormat="0" applyBorder="0" applyAlignment="0" applyProtection="0"/>
  </cellStyleXfs>
  <cellXfs count="180">
    <xf numFmtId="0" fontId="0" fillId="0" borderId="0" xfId="0" applyFont="1" applyAlignment="1">
      <alignment vertical="center"/>
    </xf>
    <xf numFmtId="0" fontId="6" fillId="0" borderId="0" xfId="102" applyFont="1" applyFill="1" applyBorder="1" applyAlignment="1">
      <alignment vertical="center" shrinkToFit="1"/>
      <protection/>
    </xf>
    <xf numFmtId="0" fontId="7" fillId="0" borderId="0" xfId="0" applyFont="1" applyAlignment="1">
      <alignment vertical="center"/>
    </xf>
    <xf numFmtId="0" fontId="54" fillId="0" borderId="0" xfId="0" applyFont="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horizontal="center" vertical="center" shrinkToFit="1"/>
    </xf>
    <xf numFmtId="0" fontId="57" fillId="0" borderId="0" xfId="0" applyFont="1" applyFill="1" applyAlignment="1">
      <alignment vertical="center"/>
    </xf>
    <xf numFmtId="0" fontId="57" fillId="0" borderId="0" xfId="0" applyFont="1" applyFill="1" applyAlignment="1">
      <alignment vertical="center"/>
    </xf>
    <xf numFmtId="0" fontId="56" fillId="0" borderId="0" xfId="0" applyFont="1" applyFill="1" applyAlignment="1">
      <alignment horizontal="center" vertical="center" shrinkToFit="1"/>
    </xf>
    <xf numFmtId="0" fontId="58" fillId="0" borderId="19" xfId="0" applyFont="1" applyFill="1" applyBorder="1" applyAlignment="1">
      <alignment vertical="center" wrapText="1"/>
    </xf>
    <xf numFmtId="0" fontId="59" fillId="55" borderId="20" xfId="0" applyFont="1" applyFill="1" applyBorder="1" applyAlignment="1">
      <alignment vertical="top" wrapText="1"/>
    </xf>
    <xf numFmtId="0" fontId="59" fillId="55" borderId="21" xfId="0" applyFont="1" applyFill="1" applyBorder="1" applyAlignment="1">
      <alignment vertical="top" wrapText="1"/>
    </xf>
    <xf numFmtId="0" fontId="59" fillId="55" borderId="22" xfId="0" applyFont="1" applyFill="1" applyBorder="1" applyAlignment="1">
      <alignment vertical="top" wrapText="1"/>
    </xf>
    <xf numFmtId="0" fontId="58" fillId="0" borderId="21" xfId="0" applyFont="1" applyFill="1" applyBorder="1" applyAlignment="1">
      <alignment vertical="center" wrapText="1"/>
    </xf>
    <xf numFmtId="0" fontId="58" fillId="0" borderId="23" xfId="0" applyFont="1" applyFill="1" applyBorder="1" applyAlignment="1">
      <alignment vertical="center" wrapText="1"/>
    </xf>
    <xf numFmtId="0" fontId="58" fillId="0" borderId="24" xfId="0" applyFont="1" applyFill="1" applyBorder="1" applyAlignment="1">
      <alignment vertical="center" wrapText="1"/>
    </xf>
    <xf numFmtId="0" fontId="59" fillId="55" borderId="25" xfId="0" applyFont="1" applyFill="1" applyBorder="1" applyAlignment="1">
      <alignment vertical="top" wrapText="1"/>
    </xf>
    <xf numFmtId="0" fontId="59" fillId="55" borderId="26" xfId="0" applyFont="1" applyFill="1" applyBorder="1" applyAlignment="1">
      <alignment vertical="top" wrapText="1"/>
    </xf>
    <xf numFmtId="0" fontId="59" fillId="55" borderId="27" xfId="0" applyFont="1" applyFill="1" applyBorder="1" applyAlignment="1">
      <alignment vertical="top" wrapText="1"/>
    </xf>
    <xf numFmtId="0" fontId="58" fillId="0" borderId="22" xfId="0" applyFont="1" applyFill="1" applyBorder="1" applyAlignment="1" applyProtection="1">
      <alignment vertical="center" wrapText="1"/>
      <protection locked="0"/>
    </xf>
    <xf numFmtId="0" fontId="58" fillId="0" borderId="28" xfId="0" applyFont="1" applyFill="1" applyBorder="1" applyAlignment="1" applyProtection="1">
      <alignment vertical="center" wrapText="1"/>
      <protection locked="0"/>
    </xf>
    <xf numFmtId="0" fontId="58" fillId="0" borderId="29" xfId="0" applyFont="1" applyFill="1" applyBorder="1" applyAlignment="1" applyProtection="1">
      <alignment vertical="center" wrapText="1"/>
      <protection locked="0"/>
    </xf>
    <xf numFmtId="176" fontId="59" fillId="0" borderId="22" xfId="0" applyNumberFormat="1" applyFont="1" applyFill="1" applyBorder="1" applyAlignment="1" applyProtection="1">
      <alignment vertical="top" wrapText="1"/>
      <protection hidden="1"/>
    </xf>
    <xf numFmtId="176" fontId="59" fillId="0" borderId="20" xfId="0" applyNumberFormat="1" applyFont="1" applyFill="1" applyBorder="1" applyAlignment="1" applyProtection="1">
      <alignment vertical="top" wrapText="1"/>
      <protection hidden="1"/>
    </xf>
    <xf numFmtId="176" fontId="59" fillId="0" borderId="21" xfId="0" applyNumberFormat="1" applyFont="1" applyFill="1" applyBorder="1" applyAlignment="1" applyProtection="1">
      <alignment vertical="top" wrapText="1"/>
      <protection hidden="1"/>
    </xf>
    <xf numFmtId="176" fontId="59" fillId="0" borderId="30" xfId="0" applyNumberFormat="1" applyFont="1" applyFill="1" applyBorder="1" applyAlignment="1" applyProtection="1">
      <alignment vertical="top" wrapText="1"/>
      <protection hidden="1"/>
    </xf>
    <xf numFmtId="176" fontId="59" fillId="0" borderId="23" xfId="0" applyNumberFormat="1" applyFont="1" applyFill="1" applyBorder="1" applyAlignment="1" applyProtection="1">
      <alignment vertical="top" wrapText="1"/>
      <protection hidden="1"/>
    </xf>
    <xf numFmtId="176" fontId="59" fillId="0" borderId="28" xfId="0" applyNumberFormat="1" applyFont="1" applyFill="1" applyBorder="1" applyAlignment="1" applyProtection="1">
      <alignment vertical="top" wrapText="1"/>
      <protection hidden="1"/>
    </xf>
    <xf numFmtId="176" fontId="59" fillId="0" borderId="31" xfId="0" applyNumberFormat="1" applyFont="1" applyFill="1" applyBorder="1" applyAlignment="1" applyProtection="1">
      <alignment vertical="top" wrapText="1"/>
      <protection hidden="1"/>
    </xf>
    <xf numFmtId="176" fontId="59" fillId="0" borderId="24" xfId="0" applyNumberFormat="1" applyFont="1" applyFill="1" applyBorder="1" applyAlignment="1" applyProtection="1">
      <alignment vertical="top" wrapText="1"/>
      <protection hidden="1"/>
    </xf>
    <xf numFmtId="176" fontId="59" fillId="0" borderId="29" xfId="0" applyNumberFormat="1" applyFont="1" applyFill="1" applyBorder="1" applyAlignment="1" applyProtection="1">
      <alignment vertical="top" wrapText="1"/>
      <protection hidden="1"/>
    </xf>
    <xf numFmtId="0" fontId="59" fillId="55" borderId="30" xfId="0" applyFont="1" applyFill="1" applyBorder="1" applyAlignment="1">
      <alignment vertical="top" wrapText="1"/>
    </xf>
    <xf numFmtId="0" fontId="59" fillId="55" borderId="23" xfId="0" applyFont="1" applyFill="1" applyBorder="1" applyAlignment="1">
      <alignment vertical="top" wrapText="1"/>
    </xf>
    <xf numFmtId="0" fontId="5" fillId="55" borderId="23" xfId="0" applyFont="1" applyFill="1" applyBorder="1" applyAlignment="1">
      <alignment vertical="top" wrapText="1"/>
    </xf>
    <xf numFmtId="0" fontId="59" fillId="55" borderId="28" xfId="0" applyFont="1" applyFill="1" applyBorder="1" applyAlignment="1">
      <alignment vertical="top" wrapText="1"/>
    </xf>
    <xf numFmtId="0" fontId="59" fillId="55" borderId="32" xfId="0" applyFont="1" applyFill="1" applyBorder="1" applyAlignment="1">
      <alignment vertical="top" wrapText="1"/>
    </xf>
    <xf numFmtId="0" fontId="59" fillId="55" borderId="33" xfId="0" applyFont="1" applyFill="1" applyBorder="1" applyAlignment="1">
      <alignment vertical="top" wrapText="1"/>
    </xf>
    <xf numFmtId="0" fontId="59" fillId="55" borderId="34" xfId="0" applyFont="1" applyFill="1" applyBorder="1" applyAlignment="1">
      <alignment vertical="top" wrapText="1"/>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7" xfId="0" applyFont="1" applyBorder="1" applyAlignment="1" applyProtection="1">
      <alignment vertical="center" wrapText="1"/>
      <protection/>
    </xf>
    <xf numFmtId="0" fontId="4" fillId="0" borderId="37" xfId="0" applyFont="1" applyBorder="1" applyAlignment="1" applyProtection="1">
      <alignment vertical="center"/>
      <protection/>
    </xf>
    <xf numFmtId="0" fontId="4" fillId="0" borderId="37" xfId="0" applyFont="1" applyBorder="1" applyAlignment="1">
      <alignment vertical="center"/>
    </xf>
    <xf numFmtId="0" fontId="4" fillId="0" borderId="38" xfId="0" applyFont="1" applyBorder="1" applyAlignment="1" applyProtection="1">
      <alignment horizontal="center" vertical="center" wrapText="1"/>
      <protection/>
    </xf>
    <xf numFmtId="0" fontId="4" fillId="0" borderId="28" xfId="0" applyFont="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protection/>
    </xf>
    <xf numFmtId="0" fontId="4" fillId="0" borderId="28" xfId="0" applyFont="1" applyBorder="1" applyAlignment="1">
      <alignment vertical="center"/>
    </xf>
    <xf numFmtId="0" fontId="4" fillId="0" borderId="39" xfId="0" applyFont="1" applyBorder="1" applyAlignment="1">
      <alignment vertical="center"/>
    </xf>
    <xf numFmtId="0" fontId="4" fillId="0" borderId="36" xfId="0" applyFont="1" applyBorder="1" applyAlignment="1">
      <alignment vertical="center"/>
    </xf>
    <xf numFmtId="0" fontId="5" fillId="0" borderId="28" xfId="102" applyFont="1" applyFill="1" applyBorder="1" applyAlignment="1">
      <alignment vertical="top" wrapText="1" shrinkToFit="1"/>
      <protection/>
    </xf>
    <xf numFmtId="0" fontId="4" fillId="0" borderId="28" xfId="0" applyFont="1" applyBorder="1" applyAlignment="1">
      <alignment horizontal="left" vertical="center"/>
    </xf>
    <xf numFmtId="0" fontId="7" fillId="0" borderId="28"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4" fillId="0" borderId="0" xfId="0" applyFont="1" applyAlignment="1">
      <alignment vertical="center"/>
    </xf>
    <xf numFmtId="0" fontId="5" fillId="0" borderId="0" xfId="102" applyFont="1" applyFill="1" applyBorder="1" applyAlignment="1">
      <alignment vertical="center" shrinkToFit="1"/>
      <protection/>
    </xf>
    <xf numFmtId="0" fontId="58" fillId="0" borderId="0" xfId="0" applyFont="1" applyFill="1" applyBorder="1" applyAlignment="1">
      <alignment vertical="center" shrinkToFit="1"/>
    </xf>
    <xf numFmtId="0" fontId="60" fillId="0" borderId="0" xfId="0" applyFont="1" applyFill="1" applyAlignment="1">
      <alignment vertical="center"/>
    </xf>
    <xf numFmtId="0" fontId="58" fillId="0" borderId="0" xfId="0" applyFont="1" applyFill="1" applyBorder="1" applyAlignment="1">
      <alignment horizontal="center" vertical="center"/>
    </xf>
    <xf numFmtId="0" fontId="61" fillId="0" borderId="40" xfId="0" applyFont="1" applyFill="1" applyBorder="1" applyAlignment="1">
      <alignment horizontal="center" vertical="center" wrapText="1"/>
    </xf>
    <xf numFmtId="0" fontId="61" fillId="0" borderId="41" xfId="0" applyFont="1" applyFill="1" applyBorder="1" applyAlignment="1">
      <alignment horizontal="center" vertical="center" wrapText="1"/>
    </xf>
    <xf numFmtId="0" fontId="61" fillId="0" borderId="42" xfId="0" applyFont="1" applyFill="1" applyBorder="1" applyAlignment="1">
      <alignment horizontal="center" vertical="center" wrapText="1"/>
    </xf>
    <xf numFmtId="0" fontId="4" fillId="0" borderId="43" xfId="0" applyFont="1" applyBorder="1" applyAlignment="1" applyProtection="1">
      <alignment horizontal="center" vertical="center" wrapText="1"/>
      <protection/>
    </xf>
    <xf numFmtId="0" fontId="61" fillId="0" borderId="44" xfId="0" applyFont="1" applyFill="1" applyBorder="1" applyAlignment="1">
      <alignment horizontal="center" vertical="center" wrapText="1"/>
    </xf>
    <xf numFmtId="0" fontId="59" fillId="55" borderId="45" xfId="0" applyFont="1" applyFill="1" applyBorder="1" applyAlignment="1">
      <alignment vertical="top" wrapText="1"/>
    </xf>
    <xf numFmtId="0" fontId="59" fillId="55" borderId="46" xfId="0" applyFont="1" applyFill="1" applyBorder="1" applyAlignment="1">
      <alignment vertical="top" wrapText="1"/>
    </xf>
    <xf numFmtId="0" fontId="59" fillId="55" borderId="47" xfId="0" applyFont="1" applyFill="1" applyBorder="1" applyAlignment="1">
      <alignment vertical="top" wrapText="1"/>
    </xf>
    <xf numFmtId="176" fontId="59" fillId="0" borderId="45" xfId="0" applyNumberFormat="1" applyFont="1" applyFill="1" applyBorder="1" applyAlignment="1" applyProtection="1">
      <alignment vertical="top" wrapText="1"/>
      <protection hidden="1"/>
    </xf>
    <xf numFmtId="176" fontId="59" fillId="0" borderId="46" xfId="0" applyNumberFormat="1" applyFont="1" applyFill="1" applyBorder="1" applyAlignment="1" applyProtection="1">
      <alignment vertical="top" wrapText="1"/>
      <protection hidden="1"/>
    </xf>
    <xf numFmtId="176" fontId="59" fillId="0" borderId="48" xfId="0" applyNumberFormat="1" applyFont="1" applyFill="1" applyBorder="1" applyAlignment="1" applyProtection="1">
      <alignment vertical="top" wrapText="1"/>
      <protection hidden="1"/>
    </xf>
    <xf numFmtId="0" fontId="59" fillId="55" borderId="49" xfId="0" applyFont="1" applyFill="1" applyBorder="1" applyAlignment="1">
      <alignment vertical="top" wrapText="1"/>
    </xf>
    <xf numFmtId="0" fontId="62" fillId="0" borderId="0" xfId="0" applyFont="1" applyFill="1" applyAlignment="1">
      <alignment vertical="center"/>
    </xf>
    <xf numFmtId="0" fontId="4" fillId="0" borderId="39" xfId="0" applyFont="1" applyBorder="1" applyAlignment="1" applyProtection="1">
      <alignment vertical="center" wrapText="1"/>
      <protection/>
    </xf>
    <xf numFmtId="0" fontId="4" fillId="0" borderId="36" xfId="0" applyFont="1" applyBorder="1" applyAlignment="1" applyProtection="1">
      <alignment horizontal="left" vertical="center" wrapText="1"/>
      <protection/>
    </xf>
    <xf numFmtId="0" fontId="4" fillId="0" borderId="50" xfId="0" applyFont="1" applyBorder="1" applyAlignment="1">
      <alignment vertical="center"/>
    </xf>
    <xf numFmtId="0" fontId="60" fillId="0" borderId="0" xfId="0" applyFont="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0" fontId="63" fillId="0" borderId="0" xfId="0" applyFont="1" applyAlignment="1">
      <alignment horizontal="center" vertical="center"/>
    </xf>
    <xf numFmtId="0" fontId="63" fillId="0" borderId="59" xfId="0" applyFont="1" applyBorder="1" applyAlignment="1">
      <alignment horizontal="center" vertical="center"/>
    </xf>
    <xf numFmtId="0" fontId="5" fillId="0" borderId="28" xfId="0" applyFont="1" applyBorder="1" applyAlignment="1">
      <alignment vertical="top"/>
    </xf>
    <xf numFmtId="0" fontId="5" fillId="0" borderId="30" xfId="102" applyFont="1" applyFill="1" applyBorder="1" applyAlignment="1">
      <alignment vertical="top" wrapText="1" shrinkToFit="1"/>
      <protection/>
    </xf>
    <xf numFmtId="0" fontId="5" fillId="0" borderId="23" xfId="102" applyFont="1" applyFill="1" applyBorder="1" applyAlignment="1">
      <alignment vertical="top" wrapText="1" shrinkToFit="1"/>
      <protection/>
    </xf>
    <xf numFmtId="0" fontId="5" fillId="0" borderId="60" xfId="102" applyFont="1" applyFill="1" applyBorder="1" applyAlignment="1">
      <alignment vertical="top" wrapText="1" shrinkToFit="1"/>
      <protection/>
    </xf>
    <xf numFmtId="0" fontId="5" fillId="0" borderId="61" xfId="102" applyFont="1" applyFill="1" applyBorder="1" applyAlignment="1">
      <alignment vertical="top" wrapText="1" shrinkToFit="1"/>
      <protection/>
    </xf>
    <xf numFmtId="0" fontId="4" fillId="0" borderId="62" xfId="0" applyFont="1" applyBorder="1" applyAlignment="1">
      <alignment vertical="center"/>
    </xf>
    <xf numFmtId="0" fontId="5" fillId="0" borderId="30" xfId="0" applyFont="1" applyBorder="1" applyAlignment="1">
      <alignment horizontal="left" vertical="top" wrapText="1"/>
    </xf>
    <xf numFmtId="0" fontId="5" fillId="0" borderId="23" xfId="0" applyFont="1" applyBorder="1" applyAlignment="1">
      <alignment horizontal="left" vertical="top" wrapText="1"/>
    </xf>
    <xf numFmtId="0" fontId="5" fillId="0" borderId="23" xfId="102" applyFont="1" applyBorder="1" applyAlignment="1">
      <alignment vertical="top" wrapText="1" shrinkToFit="1"/>
      <protection/>
    </xf>
    <xf numFmtId="0" fontId="5" fillId="0" borderId="63" xfId="0" applyFont="1" applyBorder="1" applyAlignment="1">
      <alignment horizontal="left" vertical="top" wrapText="1"/>
    </xf>
    <xf numFmtId="0" fontId="5" fillId="0" borderId="28" xfId="0" applyFont="1" applyBorder="1" applyAlignment="1">
      <alignment horizontal="left" vertical="top" wrapText="1"/>
    </xf>
    <xf numFmtId="0" fontId="54" fillId="0" borderId="30" xfId="0" applyFont="1" applyBorder="1" applyAlignment="1">
      <alignment vertical="center"/>
    </xf>
    <xf numFmtId="0" fontId="54" fillId="0" borderId="23" xfId="0" applyFont="1" applyBorder="1" applyAlignment="1">
      <alignment vertical="center"/>
    </xf>
    <xf numFmtId="0" fontId="7" fillId="0" borderId="23" xfId="0" applyFont="1" applyBorder="1" applyAlignment="1">
      <alignment vertical="center"/>
    </xf>
    <xf numFmtId="0" fontId="7" fillId="0" borderId="63" xfId="0" applyFont="1" applyBorder="1" applyAlignment="1">
      <alignment vertical="center"/>
    </xf>
    <xf numFmtId="0" fontId="5" fillId="0" borderId="23" xfId="0" applyFont="1" applyBorder="1" applyAlignment="1">
      <alignment vertical="top" wrapText="1"/>
    </xf>
    <xf numFmtId="0" fontId="5" fillId="0" borderId="30" xfId="0" applyFont="1" applyBorder="1" applyAlignment="1">
      <alignment vertical="top" wrapText="1"/>
    </xf>
    <xf numFmtId="0" fontId="5" fillId="0" borderId="63" xfId="0" applyFont="1" applyBorder="1" applyAlignment="1">
      <alignment vertical="top" wrapText="1"/>
    </xf>
    <xf numFmtId="0" fontId="5" fillId="0" borderId="63" xfId="0" applyFont="1" applyBorder="1" applyAlignment="1">
      <alignment vertical="top"/>
    </xf>
    <xf numFmtId="0" fontId="5" fillId="0" borderId="30"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63" xfId="0" applyFont="1" applyFill="1" applyBorder="1" applyAlignment="1">
      <alignment horizontal="left" vertical="top" wrapText="1"/>
    </xf>
    <xf numFmtId="0" fontId="5" fillId="0" borderId="28" xfId="0" applyFont="1" applyFill="1" applyBorder="1" applyAlignment="1">
      <alignment horizontal="left" vertical="top" wrapText="1"/>
    </xf>
    <xf numFmtId="0" fontId="64" fillId="0" borderId="63" xfId="0" applyFont="1" applyBorder="1" applyAlignment="1">
      <alignment horizontal="left" vertical="top" wrapText="1"/>
    </xf>
    <xf numFmtId="0" fontId="64" fillId="0" borderId="23" xfId="0" applyFont="1" applyBorder="1" applyAlignment="1">
      <alignment horizontal="left" vertical="top" wrapText="1"/>
    </xf>
    <xf numFmtId="0" fontId="5" fillId="0" borderId="63" xfId="102" applyFont="1" applyFill="1" applyBorder="1" applyAlignment="1">
      <alignment vertical="top" wrapText="1" shrinkToFit="1"/>
      <protection/>
    </xf>
    <xf numFmtId="0" fontId="7" fillId="0" borderId="0" xfId="0" applyFont="1" applyFill="1" applyAlignment="1">
      <alignment vertical="center"/>
    </xf>
    <xf numFmtId="0" fontId="54" fillId="0" borderId="0" xfId="0" applyFont="1" applyFill="1" applyAlignment="1">
      <alignment vertical="center"/>
    </xf>
    <xf numFmtId="0" fontId="5" fillId="0" borderId="28" xfId="0" applyFont="1" applyBorder="1" applyAlignment="1">
      <alignment vertical="top" wrapText="1"/>
    </xf>
    <xf numFmtId="0" fontId="64" fillId="0" borderId="30" xfId="0" applyFont="1" applyBorder="1" applyAlignment="1">
      <alignment horizontal="left" vertical="top" wrapText="1"/>
    </xf>
    <xf numFmtId="0" fontId="65" fillId="0" borderId="23" xfId="0" applyFont="1" applyBorder="1" applyAlignment="1">
      <alignment vertical="top"/>
    </xf>
    <xf numFmtId="0" fontId="65" fillId="0" borderId="30" xfId="0" applyFont="1" applyBorder="1" applyAlignment="1">
      <alignment vertical="top"/>
    </xf>
    <xf numFmtId="0" fontId="64" fillId="0" borderId="23" xfId="102" applyFont="1" applyBorder="1" applyAlignment="1">
      <alignment vertical="top" wrapText="1" shrinkToFit="1"/>
      <protection/>
    </xf>
    <xf numFmtId="0" fontId="64" fillId="0" borderId="23" xfId="0" applyFont="1" applyBorder="1" applyAlignment="1">
      <alignment vertical="top" wrapText="1"/>
    </xf>
    <xf numFmtId="0" fontId="64" fillId="0" borderId="63" xfId="0" applyFont="1" applyBorder="1" applyAlignment="1">
      <alignment vertical="top"/>
    </xf>
    <xf numFmtId="0" fontId="5" fillId="0" borderId="23" xfId="0" applyFont="1" applyBorder="1" applyAlignment="1">
      <alignment vertical="center"/>
    </xf>
    <xf numFmtId="0" fontId="4" fillId="0" borderId="37" xfId="0" applyFont="1" applyFill="1" applyBorder="1" applyAlignment="1">
      <alignment vertical="center"/>
    </xf>
    <xf numFmtId="0" fontId="4" fillId="0" borderId="28" xfId="0" applyFont="1" applyFill="1" applyBorder="1" applyAlignment="1">
      <alignment vertical="center"/>
    </xf>
    <xf numFmtId="0" fontId="4" fillId="0" borderId="37" xfId="0" applyFont="1" applyFill="1" applyBorder="1" applyAlignment="1">
      <alignment vertical="center" wrapText="1"/>
    </xf>
    <xf numFmtId="0" fontId="4" fillId="0" borderId="28"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28" xfId="0" applyFont="1" applyFill="1" applyBorder="1" applyAlignment="1">
      <alignment vertical="center" wrapText="1"/>
    </xf>
    <xf numFmtId="0" fontId="5" fillId="0" borderId="30" xfId="0" applyFont="1" applyFill="1" applyBorder="1" applyAlignment="1">
      <alignment vertical="top" wrapText="1"/>
    </xf>
    <xf numFmtId="0" fontId="5" fillId="0" borderId="23" xfId="0" applyFont="1" applyFill="1" applyBorder="1" applyAlignment="1">
      <alignment vertical="top" wrapText="1"/>
    </xf>
    <xf numFmtId="0" fontId="26" fillId="0" borderId="0" xfId="0" applyFont="1" applyAlignment="1">
      <alignment vertical="center"/>
    </xf>
    <xf numFmtId="0" fontId="4" fillId="0" borderId="64" xfId="0" applyFont="1" applyBorder="1" applyAlignment="1">
      <alignment vertical="center"/>
    </xf>
    <xf numFmtId="0" fontId="4" fillId="0" borderId="29" xfId="0" applyFont="1" applyBorder="1" applyAlignment="1">
      <alignment vertical="center"/>
    </xf>
    <xf numFmtId="0" fontId="56" fillId="0" borderId="65" xfId="0" applyFont="1" applyFill="1" applyBorder="1" applyAlignment="1">
      <alignment vertical="center"/>
    </xf>
    <xf numFmtId="0" fontId="58" fillId="55" borderId="66" xfId="0" applyFont="1" applyFill="1" applyBorder="1" applyAlignment="1">
      <alignment horizontal="left" vertical="center" wrapText="1"/>
    </xf>
    <xf numFmtId="0" fontId="58" fillId="55" borderId="67" xfId="0" applyFont="1" applyFill="1" applyBorder="1" applyAlignment="1">
      <alignment horizontal="left" vertical="center" wrapText="1"/>
    </xf>
    <xf numFmtId="0" fontId="58" fillId="55" borderId="45" xfId="0" applyFont="1" applyFill="1" applyBorder="1" applyAlignment="1">
      <alignment horizontal="left" vertical="center" wrapText="1"/>
    </xf>
    <xf numFmtId="0" fontId="58" fillId="55" borderId="68" xfId="0" applyFont="1" applyFill="1" applyBorder="1" applyAlignment="1">
      <alignment vertical="center" wrapText="1"/>
    </xf>
    <xf numFmtId="0" fontId="58" fillId="55" borderId="69" xfId="0" applyFont="1" applyFill="1" applyBorder="1" applyAlignment="1">
      <alignment vertical="center" wrapText="1"/>
    </xf>
    <xf numFmtId="0" fontId="58" fillId="55" borderId="49" xfId="0" applyFont="1" applyFill="1" applyBorder="1" applyAlignment="1">
      <alignment vertical="center" wrapText="1"/>
    </xf>
    <xf numFmtId="0" fontId="58" fillId="0" borderId="70" xfId="0" applyFont="1" applyFill="1" applyBorder="1" applyAlignment="1">
      <alignment horizontal="center" vertical="center" textRotation="255" wrapText="1" shrinkToFit="1"/>
    </xf>
    <xf numFmtId="0" fontId="58" fillId="0" borderId="71" xfId="0" applyFont="1" applyFill="1" applyBorder="1" applyAlignment="1">
      <alignment horizontal="center" vertical="center" textRotation="255" wrapText="1" shrinkToFit="1"/>
    </xf>
    <xf numFmtId="0" fontId="58" fillId="0" borderId="72" xfId="0" applyFont="1" applyFill="1" applyBorder="1" applyAlignment="1">
      <alignment horizontal="center" vertical="center" textRotation="255" wrapText="1" shrinkToFit="1"/>
    </xf>
    <xf numFmtId="0" fontId="61" fillId="0" borderId="73" xfId="0" applyFont="1" applyFill="1" applyBorder="1" applyAlignment="1">
      <alignment horizontal="center" vertical="center" wrapText="1"/>
    </xf>
    <xf numFmtId="0" fontId="61" fillId="0" borderId="74" xfId="0" applyFont="1" applyFill="1" applyBorder="1" applyAlignment="1">
      <alignment horizontal="center" vertical="center" wrapText="1"/>
    </xf>
    <xf numFmtId="0" fontId="61" fillId="0" borderId="75" xfId="0" applyFont="1" applyFill="1" applyBorder="1" applyAlignment="1">
      <alignment horizontal="center" vertical="center" wrapText="1"/>
    </xf>
    <xf numFmtId="0" fontId="58" fillId="0" borderId="76" xfId="0" applyFont="1" applyFill="1" applyBorder="1" applyAlignment="1">
      <alignment vertical="center" wrapText="1" shrinkToFit="1"/>
    </xf>
    <xf numFmtId="0" fontId="58" fillId="0" borderId="77" xfId="0" applyFont="1" applyFill="1" applyBorder="1" applyAlignment="1">
      <alignment vertical="center" wrapText="1" shrinkToFit="1"/>
    </xf>
    <xf numFmtId="0" fontId="58" fillId="55" borderId="66" xfId="0" applyFont="1" applyFill="1" applyBorder="1" applyAlignment="1">
      <alignment vertical="center" wrapText="1"/>
    </xf>
    <xf numFmtId="0" fontId="58" fillId="55" borderId="67" xfId="0" applyFont="1" applyFill="1" applyBorder="1" applyAlignment="1">
      <alignment vertical="center" wrapText="1"/>
    </xf>
    <xf numFmtId="0" fontId="58" fillId="55" borderId="45" xfId="0" applyFont="1" applyFill="1" applyBorder="1" applyAlignment="1">
      <alignment vertical="center" wrapText="1"/>
    </xf>
    <xf numFmtId="0" fontId="58" fillId="55" borderId="78" xfId="0" applyFont="1" applyFill="1" applyBorder="1" applyAlignment="1">
      <alignment horizontal="center" vertical="center" textRotation="255" shrinkToFit="1"/>
    </xf>
    <xf numFmtId="0" fontId="58" fillId="55" borderId="72" xfId="0" applyFont="1" applyFill="1" applyBorder="1" applyAlignment="1">
      <alignment horizontal="center" vertical="center" textRotation="255" shrinkToFit="1"/>
    </xf>
    <xf numFmtId="0" fontId="58" fillId="55" borderId="63" xfId="0" applyFont="1" applyFill="1" applyBorder="1" applyAlignment="1">
      <alignment vertical="center" wrapText="1"/>
    </xf>
    <xf numFmtId="0" fontId="58" fillId="55" borderId="46" xfId="0" applyFont="1" applyFill="1" applyBorder="1" applyAlignment="1">
      <alignment vertical="center" wrapText="1"/>
    </xf>
    <xf numFmtId="0" fontId="58" fillId="55" borderId="79" xfId="0" applyFont="1" applyFill="1" applyBorder="1" applyAlignment="1">
      <alignment vertical="center" wrapText="1"/>
    </xf>
    <xf numFmtId="0" fontId="58" fillId="55" borderId="47" xfId="0" applyFont="1" applyFill="1" applyBorder="1" applyAlignment="1">
      <alignment vertical="center" wrapText="1"/>
    </xf>
    <xf numFmtId="0" fontId="58" fillId="0" borderId="51"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80" xfId="0" applyFont="1" applyFill="1" applyBorder="1" applyAlignment="1">
      <alignment horizontal="center" vertical="center"/>
    </xf>
    <xf numFmtId="0" fontId="58" fillId="0" borderId="81"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39" xfId="0" applyFont="1" applyFill="1" applyBorder="1" applyAlignment="1">
      <alignment vertical="center" shrinkToFit="1"/>
    </xf>
    <xf numFmtId="0" fontId="58" fillId="0" borderId="35" xfId="0" applyFont="1" applyFill="1" applyBorder="1" applyAlignment="1">
      <alignment vertical="center" shrinkToFit="1"/>
    </xf>
    <xf numFmtId="0" fontId="58" fillId="0" borderId="36" xfId="0" applyFont="1" applyFill="1" applyBorder="1" applyAlignment="1">
      <alignment vertical="center" shrinkToFit="1"/>
    </xf>
    <xf numFmtId="0" fontId="58" fillId="0" borderId="71" xfId="0" applyFont="1" applyFill="1" applyBorder="1" applyAlignment="1">
      <alignment vertical="center" shrinkToFit="1"/>
    </xf>
    <xf numFmtId="0" fontId="58" fillId="0" borderId="83" xfId="0" applyFont="1" applyFill="1" applyBorder="1" applyAlignment="1">
      <alignment vertical="center" shrinkToFit="1"/>
    </xf>
    <xf numFmtId="0" fontId="58" fillId="0" borderId="37" xfId="0" applyFont="1" applyFill="1" applyBorder="1" applyAlignment="1">
      <alignment vertical="center" shrinkToFit="1"/>
    </xf>
    <xf numFmtId="0" fontId="58" fillId="0" borderId="23" xfId="0" applyFont="1" applyFill="1" applyBorder="1" applyAlignment="1">
      <alignment vertical="center" shrinkToFit="1"/>
    </xf>
    <xf numFmtId="0" fontId="58" fillId="0" borderId="28" xfId="0" applyFont="1" applyFill="1" applyBorder="1" applyAlignment="1">
      <alignment vertical="center" shrinkToFit="1"/>
    </xf>
    <xf numFmtId="0" fontId="58" fillId="0" borderId="68" xfId="0" applyFont="1" applyFill="1" applyBorder="1" applyAlignment="1">
      <alignment vertical="center" shrinkToFit="1"/>
    </xf>
    <xf numFmtId="0" fontId="58" fillId="0" borderId="69" xfId="0" applyFont="1" applyFill="1" applyBorder="1" applyAlignment="1">
      <alignment vertical="center" shrinkToFit="1"/>
    </xf>
    <xf numFmtId="0" fontId="58" fillId="0" borderId="49" xfId="0" applyFont="1" applyFill="1" applyBorder="1" applyAlignment="1">
      <alignment vertical="center" shrinkToFit="1"/>
    </xf>
    <xf numFmtId="0" fontId="58" fillId="0" borderId="55" xfId="0" applyFont="1" applyFill="1" applyBorder="1" applyAlignment="1">
      <alignment vertical="center" shrinkToFit="1"/>
    </xf>
    <xf numFmtId="0" fontId="58" fillId="0" borderId="0" xfId="0" applyFont="1" applyFill="1" applyBorder="1" applyAlignment="1">
      <alignment vertical="center" shrinkToFit="1"/>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_Sheet1"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685800</xdr:colOff>
      <xdr:row>0</xdr:row>
      <xdr:rowOff>28575</xdr:rowOff>
    </xdr:from>
    <xdr:to>
      <xdr:col>15</xdr:col>
      <xdr:colOff>0</xdr:colOff>
      <xdr:row>0</xdr:row>
      <xdr:rowOff>190500</xdr:rowOff>
    </xdr:to>
    <xdr:pic>
      <xdr:nvPicPr>
        <xdr:cNvPr id="1" name="図 3"/>
        <xdr:cNvPicPr preferRelativeResize="1">
          <a:picLocks noChangeAspect="1"/>
        </xdr:cNvPicPr>
      </xdr:nvPicPr>
      <xdr:blipFill>
        <a:blip r:embed="rId1"/>
        <a:stretch>
          <a:fillRect/>
        </a:stretch>
      </xdr:blipFill>
      <xdr:spPr>
        <a:xfrm>
          <a:off x="12620625" y="28575"/>
          <a:ext cx="1428750"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obunsv09\&#32232;&#38598;&#37096;\&#32232;&#38598;&#65300;&#35506;\&#65296;&#65297;&#12288;&#32232;&#38598;&#37096;&#65300;&#35506;\&#65296;&#65300;&#12288;&#36947;&#24499;&#38306;&#20418;\&#65296;&#65297;&#12288;&#12422;&#12383;&#12363;&#12394;&#24515;&#38306;&#20418;\&#12487;&#12472;&#12479;&#12523;&#36947;&#24499;&#38306;&#20418;\H28&#12487;&#12472;&#12479;&#12523;&#36947;&#24499;\20150129%20&#26032;&#20869;&#23481;&#38917;&#30446;&#23550;&#24540;&#12487;&#12540;&#12479;\&#65301;&#65294;&#25945;&#31185;&#38936;&#22495;&#31561;&#12392;&#36947;&#24499;&#12392;&#12398;&#38306;&#36899;&#35336;&#30011;&#34920;\&#12304;&#26032;&#20869;&#23481;&#38917;&#30446;&#21029;&#12305;&#25945;&#31185;&#38936;&#22495;&#31561;&#12392;&#36947;&#24499;&#12392;&#12398;&#38306;&#36899;&#35336;&#30011;&#34920;\S5&#12304;&#26032;&#20869;&#23481;&#38917;&#30446;&#21029;&#12305;&#25945;&#31185;&#38936;&#22495;&#31561;&#12392;&#36947;&#24499;&#12392;&#12398;&#38306;&#36899;&#35336;&#30011;&#34920;_5&#241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内容項目別】指導計画例5年"/>
      <sheetName val="【新内容項目別】発行者別一覧5年"/>
    </sheetNames>
    <sheetDataSet>
      <sheetData sheetId="1">
        <row r="9">
          <cell r="B9" t="str">
            <v>東京書籍</v>
          </cell>
          <cell r="C9" t="str">
            <v>学校図書</v>
          </cell>
          <cell r="D9" t="str">
            <v>三省堂</v>
          </cell>
          <cell r="E9" t="str">
            <v>教育出版</v>
          </cell>
          <cell r="F9" t="str">
            <v>光村図書</v>
          </cell>
          <cell r="G9" t="str">
            <v>東京書籍</v>
          </cell>
          <cell r="H9" t="str">
            <v>教育出版</v>
          </cell>
          <cell r="I9" t="str">
            <v>光村図書</v>
          </cell>
          <cell r="J9" t="str">
            <v>日本文教出版</v>
          </cell>
          <cell r="K9" t="str">
            <v>東京書籍</v>
          </cell>
          <cell r="L9" t="str">
            <v>大日本図書</v>
          </cell>
          <cell r="M9" t="str">
            <v>学校図書</v>
          </cell>
          <cell r="N9" t="str">
            <v>教育出版</v>
          </cell>
          <cell r="O9" t="str">
            <v>啓林館</v>
          </cell>
          <cell r="P9" t="str">
            <v>日本文教出版</v>
          </cell>
          <cell r="Q9" t="str">
            <v>東京書籍</v>
          </cell>
          <cell r="R9" t="str">
            <v>大日本図書</v>
          </cell>
          <cell r="S9" t="str">
            <v>学校図書</v>
          </cell>
          <cell r="T9" t="str">
            <v>教育出版</v>
          </cell>
          <cell r="U9" t="str">
            <v>啓林館</v>
          </cell>
          <cell r="V9" t="str">
            <v>教育出版</v>
          </cell>
          <cell r="W9" t="str">
            <v>教育芸術社</v>
          </cell>
          <cell r="X9" t="str">
            <v>開隆堂</v>
          </cell>
          <cell r="Y9" t="str">
            <v>日本文教出版</v>
          </cell>
          <cell r="Z9" t="str">
            <v>東京書籍</v>
          </cell>
          <cell r="AA9" t="str">
            <v>開隆堂</v>
          </cell>
          <cell r="AC9" t="str">
            <v>東京書籍</v>
          </cell>
          <cell r="AD9" t="str">
            <v>大日本図書</v>
          </cell>
          <cell r="AE9" t="str">
            <v>光文書院</v>
          </cell>
          <cell r="AF9" t="str">
            <v>学研教育みらい</v>
          </cell>
        </row>
        <row r="10">
          <cell r="B10" t="str">
            <v>●新聞記事を読み比べよう/6月
●注文の多い料理店/10月
●テレビとの付き合い方/2月</v>
          </cell>
          <cell r="C10" t="str">
            <v>●注文の多い料理店/7月
</v>
          </cell>
          <cell r="D10" t="str">
            <v>●メディアについて考える/9月
</v>
          </cell>
          <cell r="G10" t="str">
            <v>●情報産業とわたしたちのくらし/12月
●情報を生かすわたしたち/1月
</v>
          </cell>
          <cell r="L10" t="str">
            <v>●割合/11月
●分数と整数のかけ算・わり算/2月
</v>
          </cell>
          <cell r="M10" t="str">
            <v>●割合とグラフ/2月
</v>
          </cell>
          <cell r="N10" t="str">
            <v>●割合/11月
</v>
          </cell>
          <cell r="Z10" t="str">
            <v>●めざそう買い物名人/10月
●物を生かして住みやすく/11月
</v>
          </cell>
          <cell r="AA10" t="str">
            <v>●食べて元気に/11月
●じょうずに使おうお金と物/1月
</v>
          </cell>
        </row>
        <row r="11">
          <cell r="D11" t="str">
            <v>●カニモトくん/4月
●競走/7月
</v>
          </cell>
          <cell r="F11" t="str">
            <v>●新聞を読もう/4月
●大造じいさんとガン/10月
●わらぐつの中の神様/2月</v>
          </cell>
          <cell r="W11" t="str">
            <v>●心をこめて表現しよう/2月
</v>
          </cell>
          <cell r="Y11" t="str">
            <v>●物語から広がる世界/1月
</v>
          </cell>
          <cell r="AC11" t="str">
            <v>●心の健康/6月</v>
          </cell>
          <cell r="AD11" t="str">
            <v>●心の健康/7月</v>
          </cell>
          <cell r="AE11" t="str">
            <v>●心の健康/6月
</v>
          </cell>
          <cell r="AF11" t="str">
            <v>●心の健康/6月</v>
          </cell>
        </row>
        <row r="12">
          <cell r="B12" t="str">
            <v>●世界でいちばんやかましい音/5月
</v>
          </cell>
          <cell r="C12" t="str">
            <v>
</v>
          </cell>
          <cell r="G12" t="str">
            <v>●これからの食料生産とわたしたち/9月
●これからの工業生産とわたしたち/11月
●環境を守るわたしたち/2月</v>
          </cell>
          <cell r="H12" t="str">
            <v>●これからの食料生産/9月
●情報を生かすわたしたち/1月
</v>
          </cell>
          <cell r="I12" t="str">
            <v>●これからの食料生産と食生活/8月
●情報化した社会とわたしたちのくらし/12月
</v>
          </cell>
          <cell r="J12" t="str">
            <v>●これからの食料生産/10月
</v>
          </cell>
          <cell r="Z12" t="str">
            <v>●わが家にズームイン！/4月
●食べて元気！ご飯とみそ汁/9月
●めざそう買い物名人/10月
●物を生かして住みやすく/11月</v>
          </cell>
          <cell r="AA12" t="str">
            <v>●かたづけよう　身の回りの物/6月
●食べて元気に/11月
●じょうずに使おうお金と物/1月
</v>
          </cell>
          <cell r="AC12" t="str">
            <v>●心の健康/6月
●けがの防止/１０月</v>
          </cell>
          <cell r="AD12" t="str">
            <v>●心の健康/7月
●けがの防止/１０月</v>
          </cell>
          <cell r="AE12" t="str">
            <v>●心の健康/6月
●けがの防止/2月</v>
          </cell>
          <cell r="AF12" t="str">
            <v>●心の健康/6月
●けがの防止/2月</v>
          </cell>
        </row>
        <row r="13">
          <cell r="B13" t="str">
            <v>●本は友達/7月
●不思議な世界へ出かけよう/10月
●手塚治虫/12月</v>
          </cell>
          <cell r="C13" t="str">
            <v>●わたし風「枕草子」/9月</v>
          </cell>
          <cell r="D13" t="str">
            <v>●洪庵のたいまつ/10月</v>
          </cell>
          <cell r="F13" t="str">
            <v>●詩の楽しみ方を見つけよう/1月
</v>
          </cell>
          <cell r="Y13" t="str">
            <v>●刷り重ねて表そう/3月
</v>
          </cell>
        </row>
        <row r="14">
          <cell r="B14" t="str">
            <v>●和の文化を受けつぐ―和菓子をさぐる/11月
●手塚治虫/12月
</v>
          </cell>
          <cell r="C14" t="str">
            <v>●東京スカイツリーのひみつ/5月
●トロッコ電車で行く黒部きょうこく/10月
●レイチェル＝カーソン/12月
</v>
          </cell>
          <cell r="D14" t="str">
            <v>●洪庵のたいまつ/10月
●コウノトリが教えてくれた/2月
</v>
          </cell>
          <cell r="E14" t="str">
            <v>●「情報ノート」を作ろう/4月
●みすゞさがしの旅/3月
</v>
          </cell>
          <cell r="F14" t="str">
            <v>●百年後のふるさとを守る/12月
</v>
          </cell>
          <cell r="G14" t="str">
            <v>●くらしを支える食料生産/6月
●工業生産を支える/11月
●これからの工業生産とわたしたち/11月
</v>
          </cell>
          <cell r="H14" t="str">
            <v>●情報を伝える人々/12月
●森林を守る人々/2月
●自然災害とともに生きる/2月
●生活環境を守る人々/3月
</v>
          </cell>
          <cell r="I14" t="str">
            <v>●地形の特色と人々のくらし/4月
●気候の特色と人々のくらし/5月
●わたしたちの食生活と米作り/6月
●わたしたちの食生活と水産業/9月
●これからの食料生産と食生活/9月
●わたしたちのくらしと情報産業/11月
●自然災害から命とくらしを守る/2月</v>
          </cell>
          <cell r="M14" t="str">
            <v>●５年のまとめ/3月
</v>
          </cell>
          <cell r="N14" t="str">
            <v>●5年のまとめ/3月
</v>
          </cell>
          <cell r="U14" t="str">
            <v>●広げよう科学の世界を/7月
</v>
          </cell>
          <cell r="X14" t="str">
            <v>●色を重ねて，ゆめを広げて/だんボールで，試して，つくって（選択）/1月</v>
          </cell>
          <cell r="Y14" t="str">
            <v>●刷り重ねて表そう/3月
</v>
          </cell>
          <cell r="Z14" t="str">
            <v>●ひと針に心をこめて/6月</v>
          </cell>
        </row>
        <row r="15">
          <cell r="B15" t="str">
            <v>●一つの言葉から/4月
●文の組み立てに気をつけよう/5月
●立場を決めて討論しよう/7月
●資料を生かして考えたことを書こう/9月
●不思議な世界へ出かけよう/10月
●意味をそえる言葉に目を向けよう/10月
●手塚治虫/12月
●伝えよう，委員会活動/1月
●六年生におくる字をすいせんしよう/2月
●大造じいさんとがん/2月
●わたしの文章見本帳をつくろう/3月
</v>
          </cell>
          <cell r="C15" t="str">
            <v>●東京スカイツリーのひみつ/5月
●すじ道（論理）を確かめる/6月
●わたし風「枕草子」/9月
●トロッコ電車で行く黒部きょうこく/10月
●意見（主張）と根拠をとらえる/11月
●表やグラフをつかって伝えよう/11月
●短歌・俳句を作ろう/12月
●人物を生き生きとえがき出そう/1月
●メディア・リテラシー入門/1月
●未来の新入生に学校しょうかいをしよう/2月
●大造じいさんとがん/2月
</v>
          </cell>
          <cell r="D15" t="str">
            <v>●おすすめします，この一さつ/5月
●「十秒」が命を守る/5月
●インターネットを使って調べよう/5月
●このあと，どうなる？/7月
●グループ新聞/10月
●情報を分類して整理しよう/11月
●見学レポート/12月
●写真と絵，どちらを選ぶ？/12月
●句会を楽しむ/1月
●コウノトリが教えてくれた/2月
●大造じいさんとガン/3月
</v>
          </cell>
          <cell r="E15" t="str">
            <v>●「要約伝言ゲーム」をしよう/4月
●「情報ノート」を作ろう/4月
●しょうかいポスターを作ろう/5月
●「わが町ベスト・スリー」を決めよう/6月
●言葉と事実/6月
●新聞を読もう/7月
●大造じいさんとがん/9月
●世界遺産　白神山地からの提言/10月
●俳句・短歌を作ろう/11月
●「図書すいせん会」を開こう/12月
●まんがの方法/1月
●ひみつを調べて発表しよう/1月
</v>
          </cell>
          <cell r="F15" t="str">
            <v>●見立てる/5月
●生き物は円柱形/5月
●古典の世界（一）/5月
●広がる，つながる，わたしたちの読書/6月
●千年の釘にいどむ/6月
●次への一歩―活動報告書/7月
●日常を十七音で/9月
●明日をつくるわたしたち/9月
●天気を予想する/11月
●グラフや表を用いて書こう/11月
●百年後のふるさとを守る/12月
●分かりやすく伝える/12月
●想像力のスイッチを入れよう/1月
●すいせんします/1月
●一まいの写真から/3月
●六年生になったら/3月
</v>
          </cell>
          <cell r="G15" t="str">
            <v>●低い土地のくらし/高い土地のくらし（選択）/5月
●あたたかい土地の暮らし/寒い土地のくらし（選択）/6月
●工業生産と工業地域/10月
●工業生産を支える/11月
●情報産業とわたしたちのくらし/12月
●社会を変える情報/1月
●自然災害を防ぐ/3月
</v>
          </cell>
          <cell r="H15" t="str">
            <v>●自然条件と人々のくらし/5月
●米づくりのさかんな地域/6月
●水産業のさかんな地域/7月
●情報を伝える人々/12月
●広がる情報ネットワーク/1月
●森林を守る人々/2月
●自然災害とともに生きる/2月
●生活環境を守る人々/3月
</v>
          </cell>
          <cell r="I15" t="str">
            <v>●気候の特色と人々のくらし/5月
●わたしたちの食生活と米作り/6月
●わたしたちの食生活と水産業/8月
●日本の工業生産の特色/10月
●わたしたちのくらしと情報産業/11月
●自然環境を守る～水俣病に学ぶ～/1月
●自然災害から命とくらしを守る/2月
</v>
          </cell>
          <cell r="J15" t="str">
            <v>●情報をつくり、伝える/1月
●環境とわたしたちのくらし/2月
●森林とわたしたちのくらし/2月
</v>
          </cell>
          <cell r="K15" t="str">
            <v>●直方体や立方体の体積/4月
●比例/5月
●小数のかけ算/5月
●小数のわり算/6月
●分数と小数，整数の関係/9月
●分数のたし算とひき算/10月
●図形の角/11月
●四角形と三角形の面積/12月
●百分率とグラフ/1月
●正多角形と円周の長さ/2月
●分数のかけ算とわり算/2月
●角柱と円柱/3月
</v>
          </cell>
          <cell r="L15" t="str">
            <v>●小数のかけ算/4月
●体積/5月
●小数のわり算/5月
●図形の角の大きさ/6月
●整数の性質/9月
●分数のたし算とひき算/9月
●平均/10月
●単位量あたりの大きさ/10月
●正多角形と円/10月
●割合/11月
●帯グラフと円グラフ/12月
●分数と小数，整数/12月
●四角形と三角形の面積/1月
●分数と整数のかけ算・わり算/2月
●数量の関係の調べ方/3月
</v>
          </cell>
          <cell r="M15" t="str">
            <v>●図形の合同/4月
●小数のかけ算/5月
●図形の角/6月
●小数のわり算/6月
●倍数と約数/9月
●分数のたし算とひき算/9月
●分数と小数・整数/10月
●体積/10月
●分数のかけ算とわり算/11月
●図形の面積/11月
●割合とグラフ/2月
●立体/2月
</v>
          </cell>
          <cell r="N15" t="str">
            <v>●体積/4月
●合同な図形/5月
●小数のわり算/6月
●整数の性質/6月
●分数の大きさとたし算，ひき算/9月
●平均/9月
●単位量あたりの大きさ/9月
●三角形や四角形の角/10月
●表や式を使って/11月
●割合/11月
●帯グラフと円グラフ/11月
●分数と整数のかけ算，わり算/12月
●四角形や三角形の面積/1月
●正多角形と円/2月
●角柱と円柱/2月
●算数を使って考えよう/3月
</v>
          </cell>
          <cell r="O15" t="str">
            <v>●体積/4月
●小数×小数/5月
●小数÷小数/6月
●式と計算/6月
●合同な図形/6月
●分数（1）/10月
●面積/10月
●平均とその利用/11月
●単位量あたりの大きさ/11月
●分数（２）/12月
●見積もりを使って/12月
●順々に調べて/12月
●割合/1月
●円と正多角形/2月
●角柱と円柱/2月
</v>
          </cell>
          <cell r="P15" t="str">
            <v>●図形の合同と角/4月
●体積/5月
●比例/5月
●小数のわり算/6月
●分数のたし算とひき算/9月
●図形の面積/10月
●単位量あたりの大きさ/11月
●□や△を使った式/12月
●割合とグラフ/1月
●正多角形と円/2月
●角柱と円柱/2月
</v>
          </cell>
          <cell r="Q15" t="str">
            <v>●天気の変化/4月　
●植物の発芽と成長/5月
●魚のたんじょう/6月
●花から実へ/9月
●台風と天気の変化/9月
●流れる水のはたらき/10月
●物のとけ方/11月
●人のたんじょう/1月
●電流がうみ出す力/1月
●ふりこのきまり/2月
</v>
          </cell>
          <cell r="R15" t="str">
            <v>●天気の変化/4月
●植物の発芽/5月
●植物の成長/5月
●メダカのたんじょう/6月
●人のたんじょう/7月
●植物の実や種子のでき方/9月
●台風と天気の変化/10月
●流れる水のはたらき/10月
●電磁石の性質/11月
●もののとけ方/1月
●ふりこの動き/2月
</v>
          </cell>
          <cell r="S15" t="str">
            <v>●ふりこの運動/4月
●種子の発芽と成長/5月
●魚のたんじょう/6月
●台風の接近/9月
●実や種子のでき方/9月
●雲と天気の変化/10月
●流れる水のはたらき/10月
●電流のはたらき/11月
●冬の天気/12月
●人のたんじょう/1月
●もののとけ方/2月
</v>
          </cell>
          <cell r="T15" t="str">
            <v>●発芽と成長/4月
●メダカのたんじょう/6月
●ふりこ/7月
●花から実へ/9月
●台風接近/9月
●天気の変化/10月
●流れる水のはたらき/10月
●電流が生み出す力/12月
●人のたんじょう/1月
●もののとけ方/2月
</v>
          </cell>
          <cell r="U15" t="str">
            <v>●花のつくり/4月
●植物の発芽と成長/4月
●メダカのたんじょう/5月
●ヒトのたんじょう/6月
●台風と気象情報/7月
●広げよう科学の世界を/7月
●花から実へ/9月
●雲と天気の変化/10月
●流れる水のはたらき/10月
●ふりこのきまり/11月
●もののとけ方/1月
●電磁石のはたらき/2月
</v>
          </cell>
          <cell r="V15" t="str">
            <v>●アンサンブルのみりょく/6月
●ひびき合いを生かして/7月
●豊かな表現を求めて/11月
●音のスケッチ/12月
●音楽のききどころ/1月
</v>
          </cell>
          <cell r="W15" t="str">
            <v>●いろいろな音のひびきを味わおう/5月
●和音の美しさを味わおう/9月
●曲想を味わおう/10月
●詩と音楽を味わおう/12月
●心をこめて表現しよう/2月
</v>
          </cell>
          <cell r="X15" t="str">
            <v>●春を感じて/4月
●切ったねん土の形から/5月
●糸のこのドライブ/5月
●めざせ，ローラーの達人/6月
●「かくれんぼさん」をさがせ！/7月
●くるくる回して/ビー玉，大ぼうけん（選択）/9月
●クルリンげきじょう/10月
●流れる風をつかまえて/10月
●でこぼこ広場に絵の具が走る/「そのば」くん登場（選択）/11月
●見える見える！遠くに，近くに/1月
●色を重ねて，ゆめを広げて/だんボールで，試して，つくって（選択）/1月
●線が包んだ形，線がつくった形/伝えたい気持ちを箱につめて（選択）/2月</v>
          </cell>
          <cell r="Y15" t="str">
            <v>●心のもよう/4月
●カードを使って（選択）感じを見つけよう/作品のストーリーを考えよう/4月
●糸のこスイスイ/5月
●消してかく/6月
●コマコマアニメーション（選択）おどれ！わりピンキャラクター/めくれ！変身パラパラアニメ/6月
●あんなところでこんなところで/7月
●使って楽しい焼き物/9月
●じっと見つめてみると/10月
●立ち上がれ！マイ・ライン/10月
●光のハーモニー（選択）人工の光で/自然の光で/11月
●ミラクル！ミラーステージ/12月
●物語から広がる世界/1月
●刷り重ねて表そう/</v>
          </cell>
          <cell r="Z15" t="str">
            <v>●わが家にズームイン！/4月
●おいしい楽しい調理の力/5月
●ひと針に心をこめて/6月
●食べて元気！ご飯とみそ汁/9月
●物を生かして住みやすく/11月
●ミシンにトライ！手作りで楽しい生活/1月
</v>
          </cell>
          <cell r="AA15" t="str">
            <v>●はじめてみよう　クッキング/4月
●はじめてみよう　ソーイング/5月
●やってみよう　家庭の仕事/7月
●わくわくミシン/9月
●寒い季節を快適に/1月
</v>
          </cell>
        </row>
        <row r="16">
          <cell r="B16" t="str">
            <v>●文の組み立てに気をつけよう/5月
●水のこころ/9月
●資料を生かして考えたことを書こう/9月
●意味をそえる言葉に目を向けよう/10月
●わたしの文章見本帳をつくろう/3月
</v>
          </cell>
          <cell r="C16" t="str">
            <v>●つなげてトーク/4月
●物語の人物が答えます/7月
●手紙の書き方/9月
●意見（主張）と根拠をとらえる/11月
●表やグラフをつかって伝えよう/11月
●未来の新入生に学校しょうかいをしよう/2月
●ゆず/2月
</v>
          </cell>
          <cell r="D16" t="str">
            <v>●人との関わりの中で/6月
</v>
          </cell>
          <cell r="E16" t="str">
            <v>●「要約伝言ゲーム」をしよう/4月
●言葉と事実/6月
●話し言葉と書き言葉/9月
●「意見こうかん会」をしよう/9月
●ひみつを調べて発表しよう/1月
●クラスで活動報告をしよう/2月</v>
          </cell>
          <cell r="F16" t="str">
            <v>●あめ玉/4月
●広がる，つながる，わたしたちの読書/6月
●次への一歩―活動報告書/7月
●分かりやすく伝える/12月</v>
          </cell>
          <cell r="I16" t="str">
            <v>●情報化した社会とわたしたちのくらし/12月
●自然環境を守る～水俣病に学ぶ～/1月
</v>
          </cell>
          <cell r="V16" t="str">
            <v>●日本の音楽・世界の音楽/10月
●音のスケッチ/12月
●気持ちを合わせて/2月
</v>
          </cell>
          <cell r="Y16" t="str">
            <v>●伝え合いたい思いや気持ち（選択）大好きな場所を伝えたい/大事なことを伝えたい/2月
</v>
          </cell>
          <cell r="AC16" t="str">
            <v>●心の健康/6月</v>
          </cell>
          <cell r="AD16" t="str">
            <v>●心の健康/7月</v>
          </cell>
          <cell r="AE16" t="str">
            <v>●心の健康/6月</v>
          </cell>
          <cell r="AF16" t="str">
            <v>●心の健康/6月</v>
          </cell>
        </row>
        <row r="17">
          <cell r="C17" t="str">
            <v>●手紙/9月
●ゆず/2月
</v>
          </cell>
          <cell r="G17" t="str">
            <v>●くらしを支える食料生産/6月
●米づくりのさかんな地域/6月
●水産業のさかんな地域/9月
●これからの工業生産とわたしたち/11月
</v>
          </cell>
          <cell r="H17" t="str">
            <v>●米づくりのさかんな地域/6月
●水産業のさかんな地域/7月
●森林を守る人々/2月
●生活環境を守る人々/3月
</v>
          </cell>
          <cell r="I17" t="str">
            <v>●これからの食料生産と食生活/9月
●くらしを支える自動車工業/9月
</v>
          </cell>
        </row>
        <row r="18">
          <cell r="B18" t="str">
            <v>●敬語を適切に使おう/9月
</v>
          </cell>
          <cell r="D18" t="str">
            <v>●見学レポート/12月
</v>
          </cell>
          <cell r="E18" t="str">
            <v>●話し言葉と書き言葉/9月
●敬語/10月
</v>
          </cell>
          <cell r="F18" t="str">
            <v>●敬語/6月
●著作権について知ろう/6月
</v>
          </cell>
        </row>
        <row r="19">
          <cell r="B19" t="str">
            <v>●一つの言葉から/4月
●意見と理由を聞き取ろう/5月
●大造じいさんとがん/2月
</v>
          </cell>
          <cell r="C19" t="str">
            <v>●つなげてトーク/4月
●みちくさ/4月
●物語の人物が答えます/7月
●人物を生き生きとえがき出そう/1月
●大造じいさんとがん/2月
</v>
          </cell>
          <cell r="D19" t="str">
            <v>●カニモトくん/4月
●人との関わりの中で/6月
●競走/7月
●グループ新聞/10月
●大造じいさんとガン/3月
</v>
          </cell>
          <cell r="E19" t="str">
            <v>●いつか，大切なところ/4月
●大造じいさんとがん/9月
●雪わたり/12月
●クラスで活動報告をしよう/2月</v>
          </cell>
          <cell r="F19" t="str">
            <v>●なまえつけてよ/4月
●大造じいさんとガン/10月
</v>
          </cell>
          <cell r="G19" t="str">
            <v>●工業生産を支える/11月
</v>
          </cell>
          <cell r="H19" t="str">
            <v>●自然災害とともに生きる/2月
</v>
          </cell>
          <cell r="I19" t="str">
            <v>●気候の特色と人々のくらし/5月
●自然災害から命とくらしを守る/2月
</v>
          </cell>
          <cell r="M19" t="str">
            <v>●倍数と約数/9月
</v>
          </cell>
          <cell r="T19" t="str">
            <v>●発芽と成長/4月
</v>
          </cell>
          <cell r="V19" t="str">
            <v>●音の重なりとひびき/4月
●アンサンブルのみりょく/6月
●ひびき合いを生かして/7月
●気持ちを合わせて/2月
</v>
          </cell>
          <cell r="W19" t="str">
            <v>●ゆたかな歌声をひびかせよう/4月
●いろいろな音のひびきを味わおう/5月
</v>
          </cell>
          <cell r="X19" t="str">
            <v>●「かくれんぼさん」をさがせ！/7月</v>
          </cell>
          <cell r="Y19" t="str">
            <v>●物語から広がる世界/1月
●伝え合いたい思いや気持ち（選択）大好きな場所を伝えたい/大事なことを伝えたい/2月
</v>
          </cell>
          <cell r="AC19" t="str">
            <v>●心の健康/6月
</v>
          </cell>
          <cell r="AD19" t="str">
            <v>●心の健康/7月
</v>
          </cell>
          <cell r="AE19" t="str">
            <v>●心の健康/6月</v>
          </cell>
          <cell r="AF19" t="str">
            <v>●心の健康/6月</v>
          </cell>
        </row>
        <row r="20">
          <cell r="B20" t="str">
            <v>●意見と理由を聞き取ろう/5月
●新聞記事を読み比べよう/6月
●立場を決めて討論しよう/7月
●テレビとの付き合い方/2月
</v>
          </cell>
          <cell r="C20" t="str">
            <v>●より良い考え方はどっち？/11月
●メディア・リテラシー入門/1月
</v>
          </cell>
          <cell r="D20" t="str">
            <v>●写真と絵，どちらを選ぶ？/12月
●動物とともに生きるために/2月
</v>
          </cell>
          <cell r="F20" t="str">
            <v>●きいて，きいて，きいてみよう/5月
●明日をつくるわたしたち/9月
●想像力のスイッチを入れよう/1月
●方言と共通語/2月
</v>
          </cell>
          <cell r="H20" t="str">
            <v>●情報を生かすわたしたち/1月
</v>
          </cell>
          <cell r="I20" t="str">
            <v>●情報化した社会とわたしたちのくらし/12月
</v>
          </cell>
          <cell r="Y20" t="str">
            <v>●心のもよう/4月
●カードを使って（選択）感じを見つけよう/作品のストーリーを考えよう/4月
●糸のこスイスイ/5月
●使って楽しい焼き物/9月</v>
          </cell>
        </row>
        <row r="21">
          <cell r="B21" t="str">
            <v>●世界でいちばんやかましい音/5月
●熟語の構成を知ろう/12月
</v>
          </cell>
          <cell r="C21" t="str">
            <v>●手紙の書き方/9月
</v>
          </cell>
          <cell r="D21" t="str">
            <v>●メディアについて考える/9月
</v>
          </cell>
          <cell r="E21" t="str">
            <v>●かなづかいで気をつけること/6月
</v>
          </cell>
          <cell r="F21" t="str">
            <v>●著作権について知ろう/6月
●複合語/2月
</v>
          </cell>
          <cell r="G21" t="str">
            <v>●情報産業とわたしたちのくらし/12月
●環境を守るわたしたち/2月</v>
          </cell>
          <cell r="I21" t="str">
            <v>●情報化した社会とわたしたちのくらし/12月
</v>
          </cell>
          <cell r="J21" t="str">
            <v>●情報化社会を生きる/1月
</v>
          </cell>
          <cell r="K21" t="str">
            <v>●整数と小数/4月
●直方体や立方体の体積/4月
●比例/5月
●小数のわり算/6月
●合同な図形/7月
●偶数と奇数，倍数と約数/9月
●分数と小数，整数の関係/9月
●分数のたし算とひき算/10月
●単位量あたりの大きさ/11月
●百分率とグラフ/1月
●分数のかけ算とわり算/2月
●角柱と円柱/3月</v>
          </cell>
          <cell r="L21" t="str">
            <v>●整数と小数/4月
●２つの量の変わり方/4月
●小数のかけ算/4月
●小数のわり算/5月
●図形の角の大きさ/6月
●合同な図形/7月
●整数の性質/9月
●分数のたし算とひき算/9月
●正多角形と円/10月
●割合/11月
●分数と小数，整数/12月
●分数と整数のかけ算・わり算/2月
●角柱と円柱/2月</v>
          </cell>
          <cell r="M21" t="str">
            <v>●小数と整数/4月
●図形の合同/4月
●単位量あたりの大きさ/5月
●小数のかけ算/5月
●図形の角/6月
●小数のわり算/6月
●高さ比べ/7月
●倍数と約数/9月
●分数のたし算とひき算/9月
●分数と小数・整数/10月
●分数のかけ算とわり算/11月
●比例/12月
●正多角形と円/1月
●割合とグラフ/2月
●立体/2月</v>
          </cell>
          <cell r="N21" t="str">
            <v>●２つに分けよう/4月
●整数と小数/4月
●体積/4月
●小数のかけ算/5月
●合同な図形/5月
●小数のわり算/6月
●整数の性質/6月
●分数の大きさとたし算，ひき算/9月
●わり算と分数/10月
●三角形や四角形の角/10月
●表や式を使って/11月
●割合/11月
●帯グラフと円グラフ/11月
●分数と整数のかけ算，わり算/12月
●正多角形と円/2月
●角柱と円柱/2月</v>
          </cell>
          <cell r="O21" t="str">
            <v>●整数と小数/4月
●体積/4月
●小数×小数/5月
●小数÷小数/6月
●合同な図形/6月
●整数/9月
●分数（1）/10月
●面積/10月
●人文字/11月
●平均とその利用/11月
●分数（２）/12月
●見積もりを使って/12月
●順々に調べて/12月
●割合/1月
●円と正多角形/2月
●角柱と円柱/2月
●変わり方/3月</v>
          </cell>
          <cell r="P21" t="str">
            <v>●整数と小数のしくみ/4月
●図形の合同と角/4月
●体積/5月
●比例/5月
●小数のかけ算/5月
●小数のわり算/6月
●整数の性質/9月
●分数のたし算とひき算/9月
●図形の面積/10月
●平均/11月
●単位量あたりの大きさ/11月
●分数と小数，整数/11月
●□や△を使った式/12月
●割合とグラフ/1月
●正多角形と円/2月
●分数のかけ算とわり算/2月
●角柱と円柱/2月</v>
          </cell>
          <cell r="Q21" t="str">
            <v>●ふりこのきまり/2月
●物のとけ方/11月</v>
          </cell>
          <cell r="R21" t="str">
            <v>●ふりこの動き/2月
●もののとけ方/1月</v>
          </cell>
          <cell r="S21" t="str">
            <v>●ふりこの運動/4月
●もののとけ方/2月</v>
          </cell>
          <cell r="T21" t="str">
            <v>●雲と天気/4月
●ふりこ/7月
●もののとけ方/2月</v>
          </cell>
          <cell r="U21" t="str">
            <v>●ふりこのきまり/11月
●もののとけ方/1月</v>
          </cell>
          <cell r="Y21" t="str">
            <v>●立ち上がれ！マイ・ライン/10月
</v>
          </cell>
          <cell r="AC21" t="str">
            <v>●けがの防止/10月</v>
          </cell>
          <cell r="AD21" t="str">
            <v>●けがの防止/10月</v>
          </cell>
          <cell r="AE21" t="str">
            <v>●けがの防止/2月</v>
          </cell>
          <cell r="AF21" t="str">
            <v>●けがの防止/2月</v>
          </cell>
        </row>
        <row r="22">
          <cell r="B22" t="str">
            <v>●立場を決めて討論しよう/7月
●注文の多い料理店/10月
</v>
          </cell>
          <cell r="C22" t="str">
            <v>●注文の多い料理店/7月
●表やグラフをつかって伝えよう/11月
●メディア・リテラシー入門/1月
</v>
          </cell>
          <cell r="D22" t="str">
            <v>●洪庵のたいまつ/10月
</v>
          </cell>
          <cell r="E22" t="str">
            <v>●言葉と事実/6月
●新聞を読もう/7月
●「意見こうかん会」をしよう/9月
●雪わたり/12月
●ひみつを調べて発表しよう/1月
</v>
          </cell>
          <cell r="F22" t="str">
            <v>●想像力のスイッチを入れよう/1月
</v>
          </cell>
          <cell r="H22" t="str">
            <v>●情報を伝える人々/12月
●情報を生かすわたしたち/1月
</v>
          </cell>
        </row>
        <row r="23">
          <cell r="D23" t="str">
            <v>●洪庵のたいまつ/10月
</v>
          </cell>
          <cell r="F23" t="str">
            <v>●千年の釘にいどむ/6月
●わらぐつの中の神様/2月
</v>
          </cell>
          <cell r="G23" t="str">
            <v>●米づくりのさかんな地域/6月
●水産業のさかんな地域/9月
●工業生産と工業地域/10月
●自動車をつくる工業/10月
●情報産業とわたしたちのくらし/12月
</v>
          </cell>
          <cell r="H23" t="str">
            <v>●自動車づくりにはげむ人々/9月
●世界とつながる日本の工業/11月
●工業の今と未来/11月
</v>
          </cell>
          <cell r="I23" t="str">
            <v>●くらしを支える自動車工業/9月
●日本の工業生産の特色/10月
●森林とわたしたちのくらし/2月
</v>
          </cell>
          <cell r="J23" t="str">
            <v>●米作りのさかんな地域/6月
●水産業のさかんな地域/9月
●自動車工業のさかんな地域/10月
●日本の工業の特色/12月
●情報をつくり、伝える/1月
●情報化社会を生きる/1月
</v>
          </cell>
        </row>
        <row r="24">
          <cell r="B24" t="str">
            <v>●だいじょうぶ　だいじょうぶ/4月
</v>
          </cell>
          <cell r="C24" t="str">
            <v>●やまなし/4月
</v>
          </cell>
          <cell r="D24" t="str">
            <v>●人との関わりの中で/6月
</v>
          </cell>
          <cell r="Q24" t="str">
            <v>●人のたんじょう/1月
</v>
          </cell>
          <cell r="R24" t="str">
            <v>●人のたんじょう/7月
</v>
          </cell>
          <cell r="S24" t="str">
            <v>●人のたんじょう/1月
</v>
          </cell>
          <cell r="T24" t="str">
            <v>●人のたんじょう/1月
</v>
          </cell>
          <cell r="U24" t="str">
            <v>●ヒトのたんじょう/6月
</v>
          </cell>
          <cell r="Z24" t="str">
            <v>●わが家にズームイン！/4月
</v>
          </cell>
          <cell r="AA24" t="str">
            <v>●やってみよう　家庭の仕事/7月
●家族とほっとタイム/2月
</v>
          </cell>
        </row>
        <row r="25">
          <cell r="B25" t="str">
            <v>●伝えよう，委員会活動/1月
●六年生におくる字をすいせんしよう/2月
</v>
          </cell>
          <cell r="C25" t="str">
            <v>●学校を百倍すてきにする方法/6月
●物語の人物が答えます/7月
●より良い考え方はどっち？/11月
●未来の新入生に学校しょうかいをしよう/2月
</v>
          </cell>
          <cell r="D25" t="str">
            <v>●人との関わりの中で/6月
●動物とともに生きるために/2月
</v>
          </cell>
          <cell r="E25" t="str">
            <v>●いつか，大切なところ/4月
●クラスで活動報告をしよう/2月
</v>
          </cell>
          <cell r="F25" t="str">
            <v>●次への一歩―活動報告書/7月
●明日をつくるわたしたち/9月
●六年生になったら/3月
</v>
          </cell>
          <cell r="G25" t="str">
            <v>●工業生産を支える/11月
</v>
          </cell>
          <cell r="V25" t="str">
            <v>●音の重なりとひびき/4月
●アンサンブルのみりょく/6月
</v>
          </cell>
        </row>
        <row r="26">
          <cell r="B26" t="str">
            <v>●漢字の由来に関心をもとう/6月
●古文を声に出して読んでみよう/9月
●和の文化を受けつぐ―和菓子をさぐる/11月
●熟語の構成を知ろう/12月
●手塚治虫/12月
●五・七・五で表そう/1月
●古文に親しもう/1月
●六年生におくる字をすいせんしよう/2月</v>
          </cell>
          <cell r="C26" t="str">
            <v>●東京スカイツリーのひみつ/5月
●宇治拾遺物語/9月
●短歌・俳句を作ろう/12月
</v>
          </cell>
          <cell r="D26" t="str">
            <v>●狂言　しびり/6月
●洪庵のたいまつ/10月
●グループ新聞/10月
</v>
          </cell>
          <cell r="E26" t="str">
            <v>●漢文に親しむ/5月
●かなづかいで気をつけること/6月
●「わが町ベスト・スリー」を決めよう/6月
●和語・漢語・外来語/10月
●「古典」を楽しむ/11月
●俳句・短歌を作ろう/11月
●言葉の種類/1月
</v>
          </cell>
          <cell r="F26" t="str">
            <v>●春の空/4月
●漢字の成り立ち/5月
●見立てる/5月
●古典の世界（一）/5月
●千年の釘にいどむ/6月
●夏の夜/7月
●日常を十七音で/9月
●和語・漢語・外来語/9月
●秋の夕暮れ/11月
●天気を予想する/11月
●百年後のふるさとを守る/12月
●複合語/2月
●冬の朝/2月
●方言と共通語/2月</v>
          </cell>
          <cell r="G26" t="str">
            <v>●世界の中の国土/4月
●国土の地形の特色/4月
●低い土地のくらし/高い土地のくらし（選択）/5月
●国土の気候と特色/5月
●あたたかい土地の暮らし/寒い土地のくらし（選択）/6月
●米づくりのさかんな地域/6月
●水産業のさかんな地域/9月
●工業生産と工業地域/10月
●わたしたちの生活と森林/2月</v>
          </cell>
          <cell r="H26" t="str">
            <v>●日本は世界のどこにある？/4月
●日本の地形と気候/4月
●自然条件と人々のくらし/5月
●米づくりのさかんな地域/6月
●水産業のさかんな地域/7月</v>
          </cell>
          <cell r="I26" t="str">
            <v>●日本の国土/4月
●地形の特色と人々のくらし/4月
●気候の特色と人々のくらし/5月
●わたしたちの食生活と米作り/6月
●わたしたちの食生活と水産業/9月
●自然環境を守る～水俣病に学ぶ～/1月
●森林とわたしたちのくらし/2月</v>
          </cell>
          <cell r="J26" t="str">
            <v>●世界から見た日本/4月
●さまざまな土地のくらし/5月
●米作りのさかんな地域/6月
●水産業のさかんな地域/9月
</v>
          </cell>
          <cell r="V26" t="str">
            <v>●にっぽんのうた　みんなのうた/4月
●日本の音楽・世界の音楽/10月
●にっぽんのうた　みんなのうた/1月
</v>
          </cell>
          <cell r="W26" t="str">
            <v>●日本と世界の音楽に親しもう/1月
</v>
          </cell>
        </row>
        <row r="27">
          <cell r="B27" t="str">
            <v>●漢字の由来に関心をもとう/6月
</v>
          </cell>
          <cell r="D27" t="str">
            <v>●動物の「言葉」　人間の「言葉」/11月
</v>
          </cell>
          <cell r="E27" t="str">
            <v>●漢文に親しむ/5月
●和語・漢語・外来語/10月
</v>
          </cell>
          <cell r="F27" t="str">
            <v>●漢字の成り立ち/5月
●見立てる/5月
●和語・漢語・外来語/9月
</v>
          </cell>
          <cell r="G27" t="str">
            <v>●世界の中の国土/4月
●これからの食料生産とわたしたち/9月
</v>
          </cell>
          <cell r="H27" t="str">
            <v>●日本は世界のどこにある？/4月
●これからの食料生産/9月
●世界とつながる日本の工業/11月
●工業の今と未来/11月
</v>
          </cell>
          <cell r="I27" t="str">
            <v>●日本の工業生産の特色/10月
</v>
          </cell>
          <cell r="J27" t="str">
            <v>●世界から見た日本/4月
●これからの食料生産/10月
●日本の工業の特色/12月
</v>
          </cell>
          <cell r="V27" t="str">
            <v>●日本の音楽・世界の音楽/10月
</v>
          </cell>
          <cell r="W27" t="str">
            <v>●日本と世界の音楽に親しもう/1月
</v>
          </cell>
        </row>
        <row r="28">
          <cell r="B28" t="str">
            <v>●だいじょうぶ　だいじょうぶ/4月
●手塚治虫/12月
</v>
          </cell>
          <cell r="D28" t="str">
            <v>●洪庵のたいまつ/10月
</v>
          </cell>
          <cell r="J28" t="str">
            <v>●自然災害から人々を守る/3月
</v>
          </cell>
          <cell r="Q28" t="str">
            <v>●魚のたんじょう/6月
●人のたんじょう/1月
</v>
          </cell>
          <cell r="R28" t="str">
            <v>●メダカのたんじょう/6月
●人のたんじょう/7月
</v>
          </cell>
          <cell r="S28" t="str">
            <v>●魚のたんじょう/6月
●人のたんじょう/1月
</v>
          </cell>
          <cell r="T28" t="str">
            <v>●人のたんじょう/1月
</v>
          </cell>
          <cell r="U28" t="str">
            <v>●メダカのたんじょう/5月
●ヒトのたんじょう/6月
</v>
          </cell>
        </row>
        <row r="29">
          <cell r="B29" t="str">
            <v>●動物の体と気候/4月
●古文に親しもう/1月
●大造じいさんとがん/2月
</v>
          </cell>
          <cell r="C29" t="str">
            <v>●やまなし/4月
●みちくさ/4月
●生命のかて・塩/5月
●レイチェル＝カーソン/12月
●大造じいさんとがん/2月
</v>
          </cell>
          <cell r="D29" t="str">
            <v>●「十秒」が命を守る/5月
●雪・土/9月
●動物の「言葉」　人間の「言葉」/11月
●句会を楽しむ/1月
●コウノトリが教えてくれた/2月
●動物とともに生きるために/2月
●大造じいさんとガン/3月
</v>
          </cell>
          <cell r="E29" t="str">
            <v>●大造じいさんとがん/9月
●素朴な琴/鳴く虫/はたはたのうた/雪//10月
●世界遺産　白神山地からの提言/10月
</v>
          </cell>
          <cell r="F29" t="str">
            <v>●ふるさと/4月
●なまえつけてよ/4月
●春の空/4月
●生き物は円柱形/5月
●夏の夜/7月
●大造じいさんとガン/10月
●秋の夕暮れ/11月
●グラフや表を用いて書こう/11月
●冬の朝/2月
</v>
          </cell>
          <cell r="G29" t="str">
            <v>●国土の地形の特色/4月
●低い土地のくらし/高い土地のくらし（選択）/5月
●あたたかい土地の暮らし/寒い土地のくらし（選択）/6月
●米づくりのさかんな地域/6月
●水産業のさかんな地域/9月
●自動車をつくる工業/10月
●わたしたちの生活と森林/2月
●環境を守るわたしたち/2月
●自然災害を防ぐ/3月
</v>
          </cell>
          <cell r="H29" t="str">
            <v>●日本の地形と気候/4月
●自然条件と人々のくらし/5月
●米づくりのさかんな地域/6月
●水産業のさかんな地域/7月
●これからの食料生産/9月
●自動車づくりにはげむ人々/9月
●工業の今と未来/11月
●森林を守る人々/2月
●自然災害とともに生きる/2月
●生活環境を守る人々/3月</v>
          </cell>
          <cell r="I29" t="str">
            <v>●日本の国土/4月
●地形の特色と人々のくらし/4月
●気候の特色と人々のくらし/5月
●わたしたちの食生活と米作り/6月
●わたしたちの食生活と水産業/9月
●自然環境を守る～水俣病に学ぶ～/1月
●森林とわたしたちのくらし/2月
●自然災害から命とくらしを守る/2月
</v>
          </cell>
          <cell r="J29" t="str">
            <v>●さまざまな土地のくらし/5月
●水産業のさかんな地域/9月
●自動車工業のさかんな地域/10月
●環境とわたしたちのくらし/2月
●森林とわたしたちのくらし/2月
●自然災害から人々を守る/3月
</v>
          </cell>
          <cell r="M29" t="str">
            <v>●単位量あたりの大きさ/5月
●５年のまとめ/3月
</v>
          </cell>
          <cell r="Q29" t="str">
            <v>●天気の変化/4月　
●植物の発芽と成長/5月
●魚のたんじょう/6月
●花から実へ/9月
●台風と天気の変化/9月
●流れる水のはたらき/10月
</v>
          </cell>
          <cell r="R29" t="str">
            <v>●天気の変化/4月
●植物の発芽/5月
●植物の成長/5月
●メダカのたんじょう/6月
●植物の実や種子のでき方/9月
●台風と天気の変化/10月
●流れる水のはたらき/10月
</v>
          </cell>
          <cell r="S29" t="str">
            <v>●種子の発芽と成長/5月
●魚のたんじょう/6月
●台風の接近/9月
●実や種子のでき方/9月
●雲と天気の変化/10月
●流れる水のはたらき/10月
●冬の天気/12月
</v>
          </cell>
          <cell r="T29" t="str">
            <v>●アブラナの花/4月
●雲と天気/4月
●発芽と成長/4月
●メダカのたんじょう/6月
●花から実へ/9月
●台風接近/9月
●天気の変化/10月
●流れる水のはたらき/10月
</v>
          </cell>
          <cell r="U29" t="str">
            <v>●花のつくり/4月
●植物の発芽と成長/4月
●メダカのたんじょう/5月
●台風と気象情報/7月
●花から実へ/9月
●雲と天気の変化/10月
●流れる水のはたらき/10月
</v>
          </cell>
          <cell r="X29" t="str">
            <v>●春を感じて/4月
●流れる風をつかまえて/10月
●自然の中で感じたことを…/12月
</v>
          </cell>
          <cell r="Z29" t="str">
            <v>●物を生かして住みやすく/11月
</v>
          </cell>
        </row>
        <row r="30">
          <cell r="B30" t="str">
            <v>●紙風船/9月
●水のこころ/9月
●五・七・五で表そう/1月
</v>
          </cell>
          <cell r="C30" t="str">
            <v>●やまなし/4月
●わたし風「枕草子」/9月
</v>
          </cell>
          <cell r="D30" t="str">
            <v>●雪・土/9月
●心を動かされた言葉/3月
</v>
          </cell>
          <cell r="E30" t="str">
            <v>●素朴な琴/鳴く虫/はたはたのうた/雪//10月
●俳句・短歌を作ろう/11月
●雪わたり/12月
</v>
          </cell>
          <cell r="F30" t="str">
            <v>●ふるさと/4月
●生き物は円柱形/5月
●一まいの写真から/3月
</v>
          </cell>
          <cell r="U30" t="str">
            <v>●広げよう科学の世界を/7月
</v>
          </cell>
          <cell r="V30" t="str">
            <v>●アンサンブルのみりょく/6月
●音楽のききどころ/1月
</v>
          </cell>
          <cell r="W30" t="str">
            <v>●和音の美しさを味わおう/9月
</v>
          </cell>
          <cell r="Y30" t="str">
            <v>●光のハーモニー（選択）人工の光で/自然の光で/11月
●ミラクル！ミラーステージ/12月
</v>
          </cell>
        </row>
        <row r="31">
          <cell r="B31" t="str">
            <v>●大造じいさんとがん/2月</v>
          </cell>
          <cell r="C31" t="str">
            <v>●大造じいさんとがん/2月</v>
          </cell>
          <cell r="D31" t="str">
            <v>●大造じいさんとガン/3月</v>
          </cell>
          <cell r="E31" t="str">
            <v>●大造じいさんとがん/9月</v>
          </cell>
          <cell r="F31" t="str">
            <v>●大造じいさんとガン/10月</v>
          </cell>
          <cell r="Y31" t="str">
            <v>●じっと見つめてみると/10月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1"/>
  <sheetViews>
    <sheetView tabSelected="1" view="pageBreakPreview" zoomScaleSheetLayoutView="100" zoomScalePageLayoutView="0" workbookViewId="0" topLeftCell="A1">
      <selection activeCell="A1" sqref="A1"/>
    </sheetView>
  </sheetViews>
  <sheetFormatPr defaultColWidth="9.00390625" defaultRowHeight="15"/>
  <cols>
    <col min="1" max="1" width="2.28125" style="9" bestFit="1" customWidth="1"/>
    <col min="2" max="2" width="9.140625" style="5" customWidth="1"/>
    <col min="3" max="3" width="9.00390625" style="5" customWidth="1"/>
    <col min="4" max="15" width="15.8515625" style="5" customWidth="1"/>
    <col min="16" max="16384" width="9.00390625" style="5" customWidth="1"/>
  </cols>
  <sheetData>
    <row r="1" spans="1:7" ht="15" customHeight="1">
      <c r="A1" s="73" t="s">
        <v>497</v>
      </c>
      <c r="B1" s="59"/>
      <c r="C1" s="59"/>
      <c r="D1" s="59"/>
      <c r="E1" s="59"/>
      <c r="F1" s="59"/>
      <c r="G1" s="4"/>
    </row>
    <row r="2" spans="1:15" s="8" customFormat="1" ht="12">
      <c r="A2" s="6" t="s">
        <v>68</v>
      </c>
      <c r="B2" s="7"/>
      <c r="C2" s="7"/>
      <c r="D2" s="7"/>
      <c r="E2" s="7"/>
      <c r="F2" s="7"/>
      <c r="G2" s="7"/>
      <c r="H2" s="159" t="s">
        <v>24</v>
      </c>
      <c r="I2" s="162" t="s">
        <v>25</v>
      </c>
      <c r="J2" s="163"/>
      <c r="K2" s="163"/>
      <c r="L2" s="164"/>
      <c r="M2" s="165"/>
      <c r="N2" s="166"/>
      <c r="O2" s="60"/>
    </row>
    <row r="3" spans="1:15" s="8" customFormat="1" ht="9">
      <c r="A3" s="6"/>
      <c r="H3" s="160"/>
      <c r="I3" s="167" t="s">
        <v>26</v>
      </c>
      <c r="J3" s="168"/>
      <c r="K3" s="168"/>
      <c r="L3" s="169"/>
      <c r="M3" s="170"/>
      <c r="N3" s="171"/>
      <c r="O3" s="58"/>
    </row>
    <row r="4" spans="1:15" s="8" customFormat="1" ht="9">
      <c r="A4" s="6"/>
      <c r="H4" s="160"/>
      <c r="I4" s="172" t="s">
        <v>27</v>
      </c>
      <c r="J4" s="173"/>
      <c r="K4" s="173"/>
      <c r="L4" s="174"/>
      <c r="M4" s="170"/>
      <c r="N4" s="171"/>
      <c r="O4" s="58"/>
    </row>
    <row r="5" spans="1:15" s="8" customFormat="1" ht="9">
      <c r="A5" s="6"/>
      <c r="H5" s="161"/>
      <c r="I5" s="175" t="s">
        <v>28</v>
      </c>
      <c r="J5" s="176"/>
      <c r="K5" s="176"/>
      <c r="L5" s="177"/>
      <c r="M5" s="178"/>
      <c r="N5" s="179"/>
      <c r="O5" s="58"/>
    </row>
    <row r="6" ht="5.25" customHeight="1"/>
    <row r="7" spans="1:15" ht="10.5">
      <c r="A7" s="145"/>
      <c r="B7" s="146"/>
      <c r="C7" s="147"/>
      <c r="D7" s="61" t="s">
        <v>29</v>
      </c>
      <c r="E7" s="62" t="s">
        <v>30</v>
      </c>
      <c r="F7" s="62" t="s">
        <v>31</v>
      </c>
      <c r="G7" s="62" t="s">
        <v>32</v>
      </c>
      <c r="H7" s="62" t="s">
        <v>33</v>
      </c>
      <c r="I7" s="62" t="s">
        <v>34</v>
      </c>
      <c r="J7" s="62" t="s">
        <v>35</v>
      </c>
      <c r="K7" s="62" t="s">
        <v>36</v>
      </c>
      <c r="L7" s="62" t="s">
        <v>37</v>
      </c>
      <c r="M7" s="62" t="s">
        <v>38</v>
      </c>
      <c r="N7" s="63" t="s">
        <v>39</v>
      </c>
      <c r="O7" s="65" t="s">
        <v>70</v>
      </c>
    </row>
    <row r="8" spans="1:15" ht="194.25" customHeight="1" thickBot="1">
      <c r="A8" s="148" t="s">
        <v>40</v>
      </c>
      <c r="B8" s="149"/>
      <c r="C8" s="10" t="s">
        <v>41</v>
      </c>
      <c r="D8" s="89" t="s">
        <v>71</v>
      </c>
      <c r="E8" s="90" t="s">
        <v>72</v>
      </c>
      <c r="F8" s="90" t="s">
        <v>147</v>
      </c>
      <c r="G8" s="90" t="s">
        <v>148</v>
      </c>
      <c r="H8" s="90" t="s">
        <v>73</v>
      </c>
      <c r="I8" s="90" t="s">
        <v>74</v>
      </c>
      <c r="J8" s="90" t="s">
        <v>149</v>
      </c>
      <c r="K8" s="90" t="s">
        <v>75</v>
      </c>
      <c r="L8" s="90" t="s">
        <v>150</v>
      </c>
      <c r="M8" s="90" t="s">
        <v>76</v>
      </c>
      <c r="N8" s="91" t="s">
        <v>93</v>
      </c>
      <c r="O8" s="92" t="s">
        <v>151</v>
      </c>
    </row>
    <row r="9" spans="1:15" ht="38.25" customHeight="1" thickTop="1">
      <c r="A9" s="150" t="s">
        <v>42</v>
      </c>
      <c r="B9" s="151"/>
      <c r="C9" s="152"/>
      <c r="D9" s="11" t="s">
        <v>43</v>
      </c>
      <c r="E9" s="12" t="s">
        <v>44</v>
      </c>
      <c r="F9" s="12" t="s">
        <v>45</v>
      </c>
      <c r="G9" s="12" t="s">
        <v>46</v>
      </c>
      <c r="H9" s="12" t="s">
        <v>69</v>
      </c>
      <c r="I9" s="12" t="s">
        <v>47</v>
      </c>
      <c r="J9" s="12" t="s">
        <v>48</v>
      </c>
      <c r="K9" s="12" t="s">
        <v>49</v>
      </c>
      <c r="L9" s="12" t="s">
        <v>50</v>
      </c>
      <c r="M9" s="12" t="s">
        <v>51</v>
      </c>
      <c r="N9" s="13" t="s">
        <v>52</v>
      </c>
      <c r="O9" s="66"/>
    </row>
    <row r="10" spans="1:15" ht="51" customHeight="1">
      <c r="A10" s="153" t="s">
        <v>53</v>
      </c>
      <c r="B10" s="155" t="s">
        <v>54</v>
      </c>
      <c r="C10" s="156"/>
      <c r="D10" s="32" t="s">
        <v>79</v>
      </c>
      <c r="E10" s="33" t="s">
        <v>77</v>
      </c>
      <c r="F10" s="33" t="s">
        <v>80</v>
      </c>
      <c r="G10" s="33" t="s">
        <v>82</v>
      </c>
      <c r="H10" s="33" t="s">
        <v>83</v>
      </c>
      <c r="I10" s="34" t="s">
        <v>84</v>
      </c>
      <c r="J10" s="33" t="s">
        <v>85</v>
      </c>
      <c r="K10" s="33" t="s">
        <v>92</v>
      </c>
      <c r="L10" s="33" t="s">
        <v>90</v>
      </c>
      <c r="M10" s="33" t="s">
        <v>91</v>
      </c>
      <c r="N10" s="35" t="s">
        <v>87</v>
      </c>
      <c r="O10" s="67"/>
    </row>
    <row r="11" spans="1:15" ht="42" customHeight="1" thickBot="1">
      <c r="A11" s="154"/>
      <c r="B11" s="157" t="s">
        <v>55</v>
      </c>
      <c r="C11" s="158"/>
      <c r="D11" s="36" t="s">
        <v>81</v>
      </c>
      <c r="E11" s="37" t="s">
        <v>78</v>
      </c>
      <c r="F11" s="37"/>
      <c r="G11" s="37"/>
      <c r="H11" s="37"/>
      <c r="I11" s="37" t="s">
        <v>78</v>
      </c>
      <c r="J11" s="37" t="s">
        <v>86</v>
      </c>
      <c r="K11" s="37"/>
      <c r="L11" s="37" t="s">
        <v>78</v>
      </c>
      <c r="M11" s="37" t="s">
        <v>88</v>
      </c>
      <c r="N11" s="38" t="s">
        <v>89</v>
      </c>
      <c r="O11" s="68"/>
    </row>
    <row r="12" spans="1:15" ht="190.5" customHeight="1" thickTop="1">
      <c r="A12" s="142" t="s">
        <v>56</v>
      </c>
      <c r="B12" s="14" t="s">
        <v>57</v>
      </c>
      <c r="C12" s="20" t="s">
        <v>8</v>
      </c>
      <c r="D12" s="24" t="str">
        <f>VLOOKUP(C12,国語,2,FALSE)</f>
        <v>●教えて，あなたのこと
Ｂ 相互理解，寛容
●かんがえるのって　おもしろい
Ａ 真理の探究
●なまえつけてよ
Ｂ 友情，信頼
Ｄ 自然愛護
●図書館を使いこなそう
Ｃ 規則の尊重
●漢字の成り立ち
Ｃ 伝統と文化の尊重，国や郷土を愛する態度
Ｃ 国際理解，国際親善
●春の空
Ｃ 伝統と文化の尊重，国や郷土を愛する態度
Ｄ 自然愛護
●きいて，きいて，きいてみよう
Ｂ 相互理解，寛容
●インタビューをするとき
Ｂ 礼儀</v>
      </c>
      <c r="E12" s="25" t="str">
        <f>VLOOKUP(C12,国語,3,FALSE)</f>
        <v>●漢字の広場①
Ａ 善悪の判断，自律，自由と責任
●見立てる
Ａ 真理の探究
Ｃ 伝統と文化の尊重，国や郷土を愛する態度
Ｃ 国際理解，国際親善
●言葉の意味が分かること
Ａ 真理の探究
Ｃ 国際理解，国際親善
●原因と結果
Ａ 真理の探究
●和語・漢語・外来語
Ｃ 伝統と文化の尊重，国や郷土を愛する態度
Ｃ 国際理解，国際親善</v>
      </c>
      <c r="F12" s="25" t="str">
        <f>VLOOKUP(C12,国語,4,FALSE)</f>
        <v>●日常を十七音で
Ｃ 伝統と文化の尊重，国や郷土を愛する態度
Ｄ 自然愛護
●古典の世界（一）
Ｃ 伝統と文化の尊重，国や郷土を愛する態度
●目的に応じて引用するとき
Ｃ 規則の尊重
●みんなが過ごしやすい町へ
Ｂ 相互理解，寛容
Ｃ 公正，公平，社会正義
Ｃ 伝統と文化の尊重，国や郷土を愛する態度
</v>
      </c>
      <c r="G12" s="25" t="str">
        <f>VLOOKUP(C12,国語,5,FALSE)</f>
        <v>●同じ読み方の漢字
Ｃ 規則の尊重
●夏の夜
Ｃ 伝統と文化の尊重，国や郷土を愛する態度
Ｄ 自然愛護
●作家で広げるわたしたちの読書
Ａ 個性の伸長
●カレーライス
Ｃ 家族愛，家庭生活の充実</v>
      </c>
      <c r="H12" s="25" t="str">
        <f>VLOOKUP(C12,国語,6,FALSE)</f>
        <v>●からたちの花
Ｄ 自然愛護
●どちらを選びますか
Ｂ 相互理解，寛容
●新聞を読もう
Ａ 真理の探究
●敬語
Ｂ 礼儀
●たずねびと
Ａ 善悪の判断，自律，自由と責任
Ａ 正直，誠実
Ａ 真理の探究
Ｄ 生命の尊さ
●漢字の広場②
Ａ 個性の伸長
</v>
      </c>
      <c r="I12" s="25" t="str">
        <f>VLOOKUP(C12,国語,7,FALSE)</f>
        <v>●漢字の読み方と使い方
Ｃ 規則の尊重
Ｃ 伝統と文化の尊重，国や郷土を愛する態度
●秋の夕暮れ
Ｃ 伝統と文化の尊重，国や郷土を愛する態度
Ｄ 自然愛護
●よりよい学校生活のために
Ｃ よりよい学校生活，集団生活の充実
●意見が対立したときには
Ｂ 相互理解，寛容
●漢字の広場③
Ａ 個性の伸長
●固有種が教えてくれること
Ａ 善悪の判断，自律，自由と責任
Ａ 真理の探究
Ｄ 自然愛護
●統計資料の読み方
Ａ 真理の探究
●グラフや表を用いて書こう
Ａ 個性の伸長
Ａ 真理の探究</v>
      </c>
      <c r="J12" s="25" t="str">
        <f>VLOOKUP(C12,国語,8,FALSE)</f>
        <v>●古典芸能の世界――語りで伝える
Ｃ 伝統と文化の尊重，国や郷土を愛する態度
●カンジー博士の暗号解読
Ｃ 規則の尊重
●古典の世界（二）
Ｃ 伝統と文化の尊重，国や郷土を愛する態度
Ｃ 国際理解，国際親善
●漢字の広場④
Ａ 個性の伸長</v>
      </c>
      <c r="K12" s="25" t="str">
        <f>VLOOKUP(C12,国語,9,FALSE)</f>
        <v>●やなせたかし――アンパンマンの勇気
Ａ 善悪の判断，自律，自由と責任
Ａ 個性の伸長
Ａ 希望と勇気，努力と強い意志
Ｃ 勤労，公共の精神
Ｄ 生命の尊さ
●あなたは，どう考える
Ａ 善悪の判断，自律，自由と責任
Ａ 真理の探究
●冬の朝
Ｃ 伝統と文化の尊重，国や郷土を愛する態度
Ｄ 自然愛護
</v>
      </c>
      <c r="L12" s="25" t="str">
        <f>VLOOKUP(C12,国語,10,FALSE)</f>
        <v>●生活の中で詩を楽しもう
Ａ 個性の伸長
●方言と共通語
Ｃ 伝統と文化の尊重，国や郷土を愛する態度
●漢字の広場⑤
Ａ 善悪の判断，自律，自由と責任
●想像力のスイッチを入れよう
Ａ 善悪の判断，自律，自由と責任
Ａ 真理の探究
●複合語
Ｃ 規則の尊重
Ｃ 伝統と文化の尊重，国や郷土を愛する態度
Ｃ 国際理解，国際親善
</v>
      </c>
      <c r="M12" s="25" t="str">
        <f>VLOOKUP(C12,国語,11,FALSE)</f>
        <v>●伝わる表現を選ぼう
Ａ 善悪の判断，自律，自由と責任
Ａ 真理の探究
Ｂ 相互理解，寛容
●この本，おすすめします
Ｂ 親切，思いやり
Ｃ よりよい学校生活，集団生活の充実
●提案しよう，言葉とわたしたち
Ａ 希望と勇気，努力と強い意志
Ｃ よりよい学校生活，集団生活の充実
</v>
      </c>
      <c r="N12" s="23" t="str">
        <f>VLOOKUP(C12,国語,12,FALSE)</f>
        <v>●日本語の表記
Ａ 善悪の判断，自律，自由と責任
Ｃ 伝統と文化の尊重，国や郷土を愛する態度
●漢字の広場⑥
Ｃ 勤労，公共の精神
●大造じいさんとガン
Ａ 正直，誠実
Ｂ 友情，信頼
Ｄ 自然愛護
Ｄ よりよく生きる喜び</v>
      </c>
      <c r="O12" s="69">
        <f>VLOOKUP(C12,国語,13,FALSE)</f>
        <v>0</v>
      </c>
    </row>
    <row r="13" spans="1:15" ht="152.25" customHeight="1">
      <c r="A13" s="143"/>
      <c r="B13" s="15" t="s">
        <v>58</v>
      </c>
      <c r="C13" s="21" t="s">
        <v>5</v>
      </c>
      <c r="D13" s="26" t="str">
        <f>VLOOKUP(C13,社会,2,FALSE)</f>
        <v>●わたしたちの国土／導入
Ｃ 伝統と文化の尊重，国や郷土を愛する態度
●世界の中の国土
Ｃ 伝統と文化の尊重，国や郷土を愛する態度
Ｃ 国際理解，国際親善
●国土の地形の特色
Ｃ 伝統と文化の尊重，国や郷土を愛する態度</v>
      </c>
      <c r="E13" s="27" t="str">
        <f>VLOOKUP(C13,社会,3,FALSE)</f>
        <v>●低い土地のくらし/高い土地のくらし（選択）
Ａ 希望と勇気，努力と強い意志
Ｂ 友情，信頼
Ｃ 伝統と文化の尊重，国や郷土を愛する態度
Ｄ 生命の尊さ
●国土の気候の特色
Ｃ 伝統と文化の尊重，国や郷土を愛する態度
</v>
      </c>
      <c r="F13" s="27" t="str">
        <f>VLOOKUP(C13,社会,4,FALSE)</f>
        <v>●あたたかい土地のくらし/寒い土地のくらし（選択）
Ａ 希望と勇気，努力と強い意志
Ｂ 友情，信頼
Ｃ よりよい学校生活，集団生活の充実
Ｃ 伝統と文化の尊重，国や郷土を愛する態度
Ｄ 自然愛護
●わたしたちの生活と食料生産／導入
Ｃ 伝統と文化の尊重，国や郷土を愛する態度
●くらしを支える食料生産
Ｃ 伝統と文化の尊重，国や郷土を愛する態度
Ｃ 国際理解，国際親善
</v>
      </c>
      <c r="G13" s="27" t="str">
        <f>VLOOKUP(C13,社会,5,FALSE)</f>
        <v>●米づくりのさかんな地域
Ａ 希望と勇気，努力と強い意志
Ｂ 友情，信頼
Ｃ 勤労，公共の精神
Ｃ 伝統と文化の尊重，国や郷土を愛する態度
Ｄ 自然愛護
</v>
      </c>
      <c r="H13" s="27" t="str">
        <f>VLOOKUP(C13,社会,6,FALSE)</f>
        <v>●水産業のさかんな地域
Ａ 希望と勇気，努力と強い意志
Ｂ 友情，信頼
Ｃ 勤労，公共の精神
Ｃ 伝統と文化の尊重，国や郷土を愛する態度
Ｄ 自然愛護
●これからの食料生産とわたしたち
Ａ 希望と勇気，努力と強い意志
Ｃ 伝統と文化の尊重，国や郷土を愛する態度
Ｃ 国際理解，国際親善
Ｄ 自然愛護
Ｄ よりよく生きる喜び</v>
      </c>
      <c r="I13" s="27" t="str">
        <f>VLOOKUP(C13,社会,7,FALSE)</f>
        <v>●わたしたちの生活と工業生産／導入
Ａ 真理の探究
●くらしを支える工業生産
Ｃ 伝統と文化の尊重，国や郷土を愛する態度
●自動車をつくる工業
Ａ 希望と勇気，努力と強い意志
Ａ 真理の探究
Ｂ 親切，思いやり
Ｂ 友情，信頼
Ｃ 伝統と文化の尊重，国や郷土を愛する態度
Ｄ 自然愛護
</v>
      </c>
      <c r="J13" s="27" t="str">
        <f>VLOOKUP(C13,社会,8,FALSE)</f>
        <v>●工業生産を支える輸送と貿易
Ａ 希望と勇気，努力と強い意志
Ｂ 親切，思いやり
Ｂ 相互理解，寛容
Ｃ 伝統と文化の尊重，国や郷土を愛する態度
Ｃ 国際理解，国際親善
●これからの工業生産とわたしたち
Ａ 希望と勇気，努力と強い意志
Ａ 真理の探究
Ｂ 友情，信頼
Ｃ 勤労，公共の精神
Ｃ 伝統と文化の尊重，国や郷土を愛する態度
Ｄ よりよく生きる喜び
</v>
      </c>
      <c r="K13" s="27" t="str">
        <f>VLOOKUP(C13,社会,9,FALSE)</f>
        <v>●情報化した社会と産業の発展／導入
Ｃ 公正，公平，社会正義
●情報産業とわたしたちのくらし
Ａ 善悪の判断，自律，自由と責任
Ａ 希望と勇気，努力と強い意志
Ａ 真理の探究
Ｂ 親切，思いやり
Ｃ 公正，公平，社会正義
Ｃ 勤労，公共の精神
</v>
      </c>
      <c r="L13" s="27" t="str">
        <f>VLOOKUP(C13,社会,10,FALSE)</f>
        <v>●情報を生かす産業
Ａ 希望と勇気，努力と強い意志
Ａ 真理の探究
Ｂ 親切，思いやり
Ｃ よりよい学校生活，集団生活の充実
●情報を生かすわたしたち
Ａ 善悪の判断，自律，自由と責任
Ａ 節度，節制
Ｂ 親切，思いやり
Ｂ 相互理解，寛容
Ｃ 規則の尊重
Ｃ よりよい学校生活，集団生活の充実</v>
      </c>
      <c r="M13" s="27" t="str">
        <f>VLOOKUP(C13,社会,11,FALSE)</f>
        <v>●わたしたちの生活と環境／導入
Ｄ 自然愛護
●自然災害を防ぐ
Ａ 希望と勇気，努力と強い意志
Ｂ 親切，思いやり
Ｃ 伝統と文化の尊重，国や郷土を愛する態度
Ｄ 自然愛護
●わたしたちの生活と森林
Ａ 希望と勇気，努力と強い意志
Ｂ 友情，信頼
Ｃ 勤労，公共の精神
Ｃ 伝統と文化の尊重，国や郷土を愛する態度
Ｄ 自然愛護
Ｄ よりよく生きる喜び
</v>
      </c>
      <c r="N13" s="28" t="str">
        <f>VLOOKUP(C13,社会,12,FALSE)</f>
        <v>●環境を守るわたしたち
Ａ 希望と勇気，努力と強い意志
Ｃ 規則の尊重
Ｃ 勤労，公共の精神
Ｃ 伝統と文化の尊重，国や郷土を愛する態度
Ｄ 自然愛護
Ｄ よりよく生きる喜び
●いかす
Ｄ 自然愛護</v>
      </c>
      <c r="O13" s="70">
        <f>VLOOKUP(C13,社会,13,FALSE)</f>
        <v>0</v>
      </c>
    </row>
    <row r="14" spans="1:15" ht="105.75" customHeight="1">
      <c r="A14" s="143"/>
      <c r="B14" s="15" t="s">
        <v>0</v>
      </c>
      <c r="C14" s="21" t="s">
        <v>5</v>
      </c>
      <c r="D14" s="26" t="str">
        <f>VLOOKUP(C14,算数,2,FALSE)</f>
        <v>●学びのとびら
Ａ 個性の伸長
Ａ 真理の探究
●整数と小数のしくみをまとめよう
Ｃ 規則の尊重
Ｃ 伝統と文化の尊重，国や郷土を愛する態度
●直方体や立方体のかさの表し方を考えよう
Ａ 希望と勇気，努力と強い意志
Ｃ よりよい学校生活，集団生活の充実
</v>
      </c>
      <c r="E14" s="27" t="str">
        <f>VLOOKUP(C14,算数,3,FALSE)</f>
        <v>●変わり方を調べよう(1)
Ａ 真理の探究
●かけ算の世界を広げよう
Ａ 希望と勇気，努力と強い意志</v>
      </c>
      <c r="F14" s="27" t="str">
        <f>VLOOKUP(C14,算数,4,FALSE)</f>
        <v>●わり算の世界を広げよう
Ａ 真理の探究
●小数の倍
Ａ 真理の探究</v>
      </c>
      <c r="G14" s="27" t="str">
        <f>VLOOKUP(C14,算数,5,FALSE)</f>
        <v>●どんな計算に なるのかな？
Ａ 真理の探究
●形も大きさも同じ図形を調べよう
Ａ 真理の探究</v>
      </c>
      <c r="H14" s="27" t="str">
        <f>VLOOKUP(C14,算数,6,FALSE)</f>
        <v>●図形の角を調べよう
Ａ 真理の探究
●整数の性質を調べよう
Ａ 希望と勇気，努力と強い意志
Ａ 真理の探究
</v>
      </c>
      <c r="I14" s="27" t="str">
        <f>VLOOKUP(C14,算数,7,FALSE)</f>
        <v>●分数と小数、整数の関係を調べよう
Ａ 真理の探究
●考える力をのばそう
Ａ 真理の探究
●算数で読みとこう
Ａ 真理の探究
Ｃ 国際理解，国際親善
●分数のたし算、ひき算を広げよう
Ａ 希望と勇気，努力と強い意志
Ｃ よりよい学校生活，集団生活の充実</v>
      </c>
      <c r="J14" s="27" t="str">
        <f>VLOOKUP(C14,算数,8,FALSE)</f>
        <v>●ならした大きさを考えよう
Ａ 真理の探究
●比べ方を考えよう(1)
Ａ 真理の探究
Ｄ 感動，畏敬の念</v>
      </c>
      <c r="K14" s="27" t="str">
        <f>VLOOKUP(C14,算数,9,FALSE)</f>
        <v>●面積の求め方を考えよう
Ａ 希望と勇気，努力と強い意志</v>
      </c>
      <c r="L14" s="27" t="str">
        <f>VLOOKUP(C14,算数,10,FALSE)</f>
        <v>●比べ方を考えよう(2)
Ａ 真理の探究
Ｄ 自然愛護
●割合をグラフに表して調べよう
Ａ 真理の探究
Ｃ よりよい学校生活，集団生活の充実</v>
      </c>
      <c r="M14" s="27" t="str">
        <f>VLOOKUP(C14,算数,11,FALSE)</f>
        <v>●変わり方を調べよう(2)
Ａ 希望と勇気，努力と強い意志
●多角形と円をくわしく調べよう
Ａ 真理の探究
Ｄ 感動，畏敬の念
●立体をくわしく調べよう
Ａ 真理の探究
Ｃ 伝統と文化の尊重，国や郷土を愛する態度</v>
      </c>
      <c r="N14" s="28" t="str">
        <f>VLOOKUP(C14,算数,12,FALSE)</f>
        <v>●考える力をのばそう
Ａ 真理の探究
●算数で読みとこう
Ａ 真理の探究
Ｃ 伝統と文化の尊重，国や郷土を愛する態度
●5年のふくしゅう
Ａ 希望と勇気，努力と強い意志</v>
      </c>
      <c r="O14" s="70">
        <f>VLOOKUP(C14,算数,13,FALSE)</f>
        <v>0</v>
      </c>
    </row>
    <row r="15" spans="1:15" ht="84" customHeight="1">
      <c r="A15" s="143"/>
      <c r="B15" s="15" t="s">
        <v>59</v>
      </c>
      <c r="C15" s="21" t="s">
        <v>10</v>
      </c>
      <c r="D15" s="26" t="str">
        <f>VLOOKUP(C15,理科,2,FALSE)</f>
        <v>●天気と情報［1］天気の変化
Ａ 真理の探究
Ｄ 自然愛護</v>
      </c>
      <c r="E15" s="27" t="str">
        <f>VLOOKUP(C15,理科,3,FALSE)</f>
        <v>●生命のつながり［1］ 植物の発芽と成長 
Ａ 真理の探究
Ｄ 自然愛護
</v>
      </c>
      <c r="F15" s="27" t="str">
        <f>VLOOKUP(C15,理科,4,FALSE)</f>
        <v>●生命のつながり［2］メダカのたんじょう
Ａ 真理の探究
Ｄ 生命の尊さ</v>
      </c>
      <c r="G15" s="27" t="str">
        <f>VLOOKUP(C15,理科,5,FALSE)</f>
        <v>●天気と情報［2］台風と防災
Ａ 真理の探究
Ｃ 規則の尊重
●自由研究
Ａ 個性の伸長
Ａ 真理の探究</v>
      </c>
      <c r="H15" s="27" t="str">
        <f>VLOOKUP(C15,理科,6,FALSE)</f>
        <v>●自由研究
Ａ 個性の伸長
Ａ 真理の探究
●生命のつながり［3］植物の実や種子のでき方
Ａ 真理の探究
Ｄ 自然愛護
●流れる水のはたらきと土地の変化
Ａ 真理の探究
Ｄ 自然愛護</v>
      </c>
      <c r="I15" s="27" t="str">
        <f>VLOOKUP(C15,理科,7,FALSE)</f>
        <v>●もののとけ方
Ａ 真理の探究
Ｂ 相互理解，寛容
Ｃ 規則の尊重</v>
      </c>
      <c r="J15" s="27" t="str">
        <f>VLOOKUP(C15,理科,8,FALSE)</f>
        <v>●ふりこの動き 
Ａ 真理の探究
Ｂ 相互理解，寛容</v>
      </c>
      <c r="K15" s="27">
        <f>VLOOKUP(C15,理科,9,FALSE)</f>
        <v>0</v>
      </c>
      <c r="L15" s="27" t="str">
        <f>VLOOKUP(C15,理科,10,FALSE)</f>
        <v>●電磁石の性質
Ａ 個性の伸長
Ａ 真理の探究
Ｂ 相互理解，寛容</v>
      </c>
      <c r="M15" s="27" t="str">
        <f>VLOOKUP(C15,理科,11,FALSE)</f>
        <v>●生命のつながり［4］人のたんじょう
Ａ 真理の探究
Ｄ 生命の尊さ
 </v>
      </c>
      <c r="N15" s="28" t="str">
        <f>VLOOKUP(C15,理科,12,FALSE)</f>
        <v>●６年の学習の準備
Ｄ 自然愛護</v>
      </c>
      <c r="O15" s="70">
        <f>VLOOKUP(C15,理科,13,FALSE)</f>
        <v>0</v>
      </c>
    </row>
    <row r="16" spans="1:15" ht="120.75" customHeight="1">
      <c r="A16" s="143"/>
      <c r="B16" s="15" t="s">
        <v>153</v>
      </c>
      <c r="C16" s="21" t="s">
        <v>162</v>
      </c>
      <c r="D16" s="26" t="str">
        <f>VLOOKUP(C16,英語,2,FALSE)</f>
        <v>●Hello, friends.
Ｂ 友情，信頼
Ｃ 国際理解，国際親善</v>
      </c>
      <c r="E16" s="26" t="str">
        <f>VLOOKUP(C16,英語,3,FALSE)</f>
        <v>●When is your birthday?
Ｂ 友情，信頼
Ｃ 国際理解，国際親善</v>
      </c>
      <c r="F16" s="26" t="str">
        <f>VLOOKUP(C16,英語,4,FALSE)</f>
        <v>●What do you want to 
study? 
Ａ 希望と勇気，努力と強い意志
Ｃ 国際理解，国際親善
</v>
      </c>
      <c r="G16" s="27" t="str">
        <f>VLOOKUP(C16,英語,5,FALSE)</f>
        <v>●外国の人に自己紹介
をしよう 
Ｃ 国際理解，国際親善</v>
      </c>
      <c r="H16" s="27" t="str">
        <f>VLOOKUP(C16,英語,6,FALSE)</f>
        <v>●He can bake bread well. 
Ｂ 友情，信頼
Ｃ 国際理解，国際親善</v>
      </c>
      <c r="I16" s="27" t="str">
        <f>VLOOKUP(C16,英語,7,FALSE)</f>
        <v>●Where is the post office? 
Ｃ 伝統と文化の尊重，国や郷土を愛する態度
Ｃ 国際理解，国際親善</v>
      </c>
      <c r="J16" s="27" t="str">
        <f>VLOOKUP(C16,英語,8,FALSE)</f>
        <v>●What would you like?
Ｂ 礼儀
Ｃ 国際理解，国際親善</v>
      </c>
      <c r="K16" s="27" t="str">
        <f>VLOOKUP(C16,英語,9,FALSE)</f>
        <v>●地域のおすすめを紹介しよう
Ｃ 伝統と文化の尊重，国や郷土を愛する態度
Ｃ 国際理解，国際親善</v>
      </c>
      <c r="L16" s="27" t="str">
        <f>VLOOKUP(C16,英語,10,FALSE)</f>
        <v>●Welcome to Japan. 
Ｃ 伝統と文化の尊重，国や郷土を愛する態度
Ｃ 国際理解，国際親善</v>
      </c>
      <c r="M16" s="27" t="str">
        <f>VLOOKUP(C16,英語,11,FALSE)</f>
        <v>●Who is your hero? 
Ｂ 友情，信頼
Ｃ 国際理解，国際親善</v>
      </c>
      <c r="N16" s="28" t="str">
        <f>VLOOKUP(C16,英語,12,FALSE)</f>
        <v>●「日本のすてき」を紹介
しよう 
Ｃ 伝統と文化の尊重，国や郷土を愛する態度
Ｃ 国際理解，国際親善</v>
      </c>
      <c r="O16" s="70">
        <f>VLOOKUP(C16,英語,13,FALSE)</f>
        <v>0</v>
      </c>
    </row>
    <row r="17" spans="1:15" ht="89.25" customHeight="1">
      <c r="A17" s="143"/>
      <c r="B17" s="15" t="s">
        <v>60</v>
      </c>
      <c r="C17" s="21" t="s">
        <v>1</v>
      </c>
      <c r="D17" s="26" t="str">
        <f>VLOOKUP(C17,音楽,2,FALSE)</f>
        <v>●歌声をひびかせて心をつなげよう
Ｃ 伝統と文化の尊重，国や郷土を愛する態度
Ｄ 感動，畏敬の念</v>
      </c>
      <c r="E17" s="27" t="str">
        <f>VLOOKUP(C17,音楽,3,FALSE)</f>
        <v>●音の重なりを感じ取ろう
Ｄ 感動，畏敬の念
</v>
      </c>
      <c r="F17" s="27" t="str">
        <f>VLOOKUP(C17,音楽,4,FALSE)</f>
        <v>●いろいろな音色を感じ取ろう
Ｃ よりよい学校生活，集団生活の充実
Ｄ 感動，畏敬の念
</v>
      </c>
      <c r="G17" s="27">
        <f>VLOOKUP(C17,音楽,5,FALSE)</f>
        <v>0</v>
      </c>
      <c r="H17" s="27" t="str">
        <f>VLOOKUP(C17,音楽,6,FALSE)</f>
        <v>●和音の移り替わりを感じ取ろう
Ａ 真理の探究
Ｂ 相互理解，寛容</v>
      </c>
      <c r="I17" s="27" t="str">
        <f>VLOOKUP(C17,音楽,7,FALSE)</f>
        <v>●曲想の変化を感じ取ろう
Ａ 真理の探究
Ｂ 友情，信頼</v>
      </c>
      <c r="J17" s="27" t="str">
        <f>VLOOKUP(C17,音楽,8,FALSE)</f>
        <v>●詩と音楽の関わりを味わおう
Ａ 真理の探究
Ｃ 伝統と文化の尊重，国や郷土を愛する態度
</v>
      </c>
      <c r="K17" s="27">
        <f>VLOOKUP(C17,音楽,9,FALSE)</f>
        <v>0</v>
      </c>
      <c r="L17" s="27" t="str">
        <f>VLOOKUP(C17,音楽,10,FALSE)</f>
        <v>●日本の音楽に親しもう
Ｃ 伝統と文化の尊重，国や郷土を愛する態度</v>
      </c>
      <c r="M17" s="27" t="str">
        <f>VLOOKUP(C17,音楽,11,FALSE)</f>
        <v>●思いを表現に生かそう
Ｃ よりよい学校生活，集団生活の充実
Ｄ 感動，畏敬の念
</v>
      </c>
      <c r="N17" s="28">
        <f>VLOOKUP(C17,音楽,12,FALSE)</f>
        <v>0</v>
      </c>
      <c r="O17" s="70" t="str">
        <f>VLOOKUP(C17,音楽,13,FALSE)</f>
        <v>●巻頭
Ｄ 感動，畏敬の念
●歌いつごう　日本の歌
Ｃ 伝統と文化の尊重，国や郷土を愛する態度
●みんなで楽しく
Ａ 希望と勇気，努力と強い意志
Ｂ 感謝
Ｂ 友情，信頼
Ｃ 国際理解，国際親善
Ｄ 感動，畏敬の念</v>
      </c>
    </row>
    <row r="18" spans="1:15" ht="69.75" customHeight="1">
      <c r="A18" s="143"/>
      <c r="B18" s="15" t="s">
        <v>61</v>
      </c>
      <c r="C18" s="21" t="s">
        <v>16</v>
      </c>
      <c r="D18" s="26" t="str">
        <f>VLOOKUP(C18,図画工作,2,FALSE)</f>
        <v>●季節を感じて
Ｃ 国際理解，国際親善
Ｄ 自然愛護</v>
      </c>
      <c r="E18" s="27" t="str">
        <f>VLOOKUP(C18,図画工作,3,FALSE)</f>
        <v>●みんなでたのしく、「はい、ポーズ」
Ａ 正直，誠実
●形を集めて（形と色でショートチャレンジ）
Ａ 正直，誠実
Ａ 個性の伸長</v>
      </c>
      <c r="F18" s="27" t="str">
        <f>VLOOKUP(C18,図画工作,4,FALSE)</f>
        <v>●糸のこの寄り道散歩
Ａ 希望と勇気，努力と強い意志</v>
      </c>
      <c r="G18" s="27" t="str">
        <f>VLOOKUP(C18,図画工作,5,FALSE)</f>
        <v>●同じもの、たくさん
Ｃ よりよい学校生活，集団生活の充実
Ｃ 伝統と文化の尊重，国や郷土を愛する態度
</v>
      </c>
      <c r="H18" s="27" t="str">
        <f>VLOOKUP(C18,図画工作,6,FALSE)</f>
        <v>●動きの不思議
Ａ 真理の探究
●わたしのおすすめ
Ａ 正直，誠実
Ｃ 伝統と文化の尊重，国や郷土を愛する態度</v>
      </c>
      <c r="I18" s="27" t="str">
        <f>VLOOKUP(C18,図画工作,7,FALSE)</f>
        <v>●見つけて！　ワイヤードリーム／コロがるくんの旅
Ａ 希望と勇気，努力と強い意志
　</v>
      </c>
      <c r="J18" s="27" t="str">
        <f>VLOOKUP(C18,図画工作,8,FALSE)</f>
        <v>●あったらいい町、どんな町
Ａ 正直，誠実
Ｂ 相互理解，寛容</v>
      </c>
      <c r="K18" s="27" t="str">
        <f>VLOOKUP(C18,図画工作,9,FALSE)</f>
        <v>●地球は大きなキャンバスだ
Ｃ よりよい学校生活，集団生活の充実
Ｄ 自然愛護
</v>
      </c>
      <c r="L18" s="27" t="str">
        <f>VLOOKUP(C18,図画工作,10,FALSE)</f>
        <v>●比べてみよう
Ａ 真理の探究
Ｄ 感動，畏敬の念
●進め！　ローラー大ぼうけん 
Ａ 希望と勇気，努力と強い意志</v>
      </c>
      <c r="M18" s="27" t="str">
        <f>VLOOKUP(C18,図画工作,11,FALSE)</f>
        <v>●色を重ねて広がる形／だんボールで、試して、つくって
Ａ 節度，節制
Ａ 希望と勇気，努力と強い意志</v>
      </c>
      <c r="N18" s="28" t="str">
        <f>VLOOKUP(C18,図画工作,12,FALSE)</f>
        <v>●Myキャラが動き出す／そっと見てね、ひみつの景色
Ｂ 友情，信頼
Ｃ よりよい学校生活，集団生活の充実
</v>
      </c>
      <c r="O18" s="70" t="str">
        <f>VLOOKUP(C18,図画工作,13,FALSE)</f>
        <v>●ひらめきコーナー
Ａ 希望と勇気，努力と強い意志
Ｃ 伝統と文化の尊重，国や郷土を愛する態度</v>
      </c>
    </row>
    <row r="19" spans="1:15" ht="117.75" customHeight="1">
      <c r="A19" s="143"/>
      <c r="B19" s="15" t="s">
        <v>62</v>
      </c>
      <c r="C19" s="21" t="s">
        <v>16</v>
      </c>
      <c r="D19" s="26" t="str">
        <f>VLOOKUP(C19,家庭,2,FALSE)</f>
        <v>●家族の生活再発見
Ｂ 感謝
Ｃ 家族愛，家庭生活の充実
●クッキング　はじめの一歩
Ａ 節度，節制
Ｃ 勤労，公共の精神
</v>
      </c>
      <c r="E19" s="27" t="str">
        <f>VLOOKUP(C19,家庭,3,FALSE)</f>
        <v>●ソーイング　はじめの一歩
Ａ 節度，節制
Ｃ 規則の尊重</v>
      </c>
      <c r="F19" s="27" t="str">
        <f>VLOOKUP(C19,家庭,4,FALSE)</f>
        <v>●整理・整とんで快適に 
Ａ 節度，節制
Ｃ 勤労，公共の精神
</v>
      </c>
      <c r="G19" s="27" t="str">
        <f>VLOOKUP(C19,家庭,5,FALSE)</f>
        <v>●できるよ，家庭の仕事
Ｂ 親切，思いやり
Ｃ 勤労，公共の精神
Ｃ 家族愛，家庭生活の充実
</v>
      </c>
      <c r="H19" s="27" t="str">
        <f>VLOOKUP(C19,家庭,6,FALSE)</f>
        <v>●ミシンでソーイング
Ａ 希望と勇気，努力と強い意志
Ｃ 規則の尊重</v>
      </c>
      <c r="I19" s="27">
        <f>VLOOKUP(C19,家庭,7,FALSE)</f>
        <v>0</v>
      </c>
      <c r="J19" s="27" t="str">
        <f>VLOOKUP(C19,家庭,8,FALSE)</f>
        <v>●食べて元気に
Ａ 節度，節制
Ｃ 家族愛，家庭生活の充実
Ｃ 伝統と文化の尊重，国や郷土を愛する態度
</v>
      </c>
      <c r="K19" s="27">
        <f>VLOOKUP(C19,家庭,9,FALSE)</f>
        <v>0</v>
      </c>
      <c r="L19" s="27" t="str">
        <f>VLOOKUP(C19,家庭,10,FALSE)</f>
        <v>●生活を支えるお金と物
Ａ 節度，節制
Ｃ 勤労，公共の精神</v>
      </c>
      <c r="M19" s="27" t="str">
        <f>VLOOKUP(C19,家庭,11,FALSE)</f>
        <v>●暖かく快適に過ごす着方
Ａ 善悪の判断，自律，自由と責任
Ａ 節度，節制
</v>
      </c>
      <c r="N19" s="28" t="str">
        <f>VLOOKUP(C19,家庭,12,FALSE)</f>
        <v>●暖かく快適に過ごす住まい方
Ａ 節度，節制
Ａ 真理の探究
●いっしょにほっとタイム
Ｃ 家族愛，家庭生活の充実
Ｃ 国際理解，国際親善</v>
      </c>
      <c r="O19" s="70">
        <f>VLOOKUP(C19,家庭,13,FALSE)</f>
        <v>0</v>
      </c>
    </row>
    <row r="20" spans="1:15" ht="144.75" customHeight="1">
      <c r="A20" s="143"/>
      <c r="B20" s="15" t="s">
        <v>63</v>
      </c>
      <c r="C20" s="21" t="s">
        <v>67</v>
      </c>
      <c r="D20" s="130" t="s">
        <v>379</v>
      </c>
      <c r="E20" s="131" t="s">
        <v>344</v>
      </c>
      <c r="F20" s="90" t="s">
        <v>378</v>
      </c>
      <c r="G20" s="90"/>
      <c r="H20" s="90" t="s">
        <v>380</v>
      </c>
      <c r="I20" s="131" t="s">
        <v>345</v>
      </c>
      <c r="J20" s="131" t="s">
        <v>381</v>
      </c>
      <c r="K20" s="131"/>
      <c r="L20" s="131" t="s">
        <v>346</v>
      </c>
      <c r="M20" s="131" t="s">
        <v>347</v>
      </c>
      <c r="N20" s="113"/>
      <c r="O20" s="51"/>
    </row>
    <row r="21" spans="1:15" ht="52.5" customHeight="1" thickBot="1">
      <c r="A21" s="144"/>
      <c r="B21" s="16" t="s">
        <v>64</v>
      </c>
      <c r="C21" s="22" t="s">
        <v>21</v>
      </c>
      <c r="D21" s="29">
        <f>VLOOKUP(C21,保健,2,FALSE)</f>
        <v>0</v>
      </c>
      <c r="E21" s="30">
        <f>VLOOKUP(C21,保健,3,FALSE)</f>
        <v>0</v>
      </c>
      <c r="F21" s="30" t="str">
        <f>VLOOKUP(C21,保健,4,FALSE)</f>
        <v>●心の健康
Ａ 個性の伸長
Ｂ 相互理解，寛容</v>
      </c>
      <c r="G21" s="30">
        <f>VLOOKUP(C21,保健,5,FALSE)</f>
        <v>0</v>
      </c>
      <c r="H21" s="30">
        <f>VLOOKUP(C21,保健,6,FALSE)</f>
        <v>0</v>
      </c>
      <c r="I21" s="30">
        <f>VLOOKUP(C21,保健,7,FALSE)</f>
        <v>0</v>
      </c>
      <c r="J21" s="30">
        <f>VLOOKUP(C21,保健,8,FALSE)</f>
        <v>0</v>
      </c>
      <c r="K21" s="30">
        <f>VLOOKUP(C21,保健,9,FALSE)</f>
        <v>0</v>
      </c>
      <c r="L21" s="30">
        <f>VLOOKUP(C21,保健,10,FALSE)</f>
        <v>0</v>
      </c>
      <c r="M21" s="30" t="str">
        <f>VLOOKUP(C21,保健,11,FALSE)</f>
        <v>●けがの防止
Ａ 善悪の判断，自律，自由と責任
Ａ 節度，節制
Ｃ 規則の尊重</v>
      </c>
      <c r="N21" s="31">
        <f>VLOOKUP(C21,保健,12,FALSE)</f>
        <v>0</v>
      </c>
      <c r="O21" s="71">
        <f>VLOOKUP(C21,保健,13,FALSE)</f>
        <v>0</v>
      </c>
    </row>
    <row r="22" spans="1:15" ht="25.5" customHeight="1" thickTop="1">
      <c r="A22" s="136" t="s">
        <v>65</v>
      </c>
      <c r="B22" s="137"/>
      <c r="C22" s="138"/>
      <c r="D22" s="11"/>
      <c r="E22" s="12"/>
      <c r="F22" s="12"/>
      <c r="G22" s="12"/>
      <c r="H22" s="12"/>
      <c r="I22" s="12"/>
      <c r="J22" s="12"/>
      <c r="K22" s="12"/>
      <c r="L22" s="12"/>
      <c r="M22" s="12"/>
      <c r="N22" s="13"/>
      <c r="O22" s="66"/>
    </row>
    <row r="23" spans="1:15" ht="25.5" customHeight="1">
      <c r="A23" s="139" t="s">
        <v>66</v>
      </c>
      <c r="B23" s="140"/>
      <c r="C23" s="141"/>
      <c r="D23" s="17"/>
      <c r="E23" s="18"/>
      <c r="F23" s="18"/>
      <c r="G23" s="18"/>
      <c r="H23" s="18"/>
      <c r="I23" s="18"/>
      <c r="J23" s="18"/>
      <c r="K23" s="18"/>
      <c r="L23" s="18"/>
      <c r="M23" s="18"/>
      <c r="N23" s="19"/>
      <c r="O23" s="72"/>
    </row>
    <row r="24" ht="24" customHeight="1"/>
    <row r="25" ht="10.5" hidden="1">
      <c r="B25" s="5" t="s">
        <v>116</v>
      </c>
    </row>
    <row r="26" spans="2:3" ht="25.5" customHeight="1" hidden="1">
      <c r="B26" s="74" t="s">
        <v>4</v>
      </c>
      <c r="C26" s="75" t="s">
        <v>5</v>
      </c>
    </row>
    <row r="27" spans="2:3" ht="25.5" customHeight="1" hidden="1">
      <c r="B27" s="41" t="s">
        <v>4</v>
      </c>
      <c r="C27" s="45" t="s">
        <v>6</v>
      </c>
    </row>
    <row r="28" spans="2:3" ht="25.5" customHeight="1" hidden="1">
      <c r="B28" s="41" t="s">
        <v>4</v>
      </c>
      <c r="C28" s="45" t="s">
        <v>7</v>
      </c>
    </row>
    <row r="29" spans="2:3" ht="25.5" customHeight="1" hidden="1">
      <c r="B29" s="41" t="s">
        <v>4</v>
      </c>
      <c r="C29" s="45" t="s">
        <v>8</v>
      </c>
    </row>
    <row r="30" spans="2:3" ht="25.5" customHeight="1" hidden="1">
      <c r="B30" s="42" t="s">
        <v>9</v>
      </c>
      <c r="C30" s="45" t="s">
        <v>5</v>
      </c>
    </row>
    <row r="31" spans="2:3" ht="25.5" customHeight="1" hidden="1">
      <c r="B31" s="42" t="s">
        <v>9</v>
      </c>
      <c r="C31" s="45" t="s">
        <v>7</v>
      </c>
    </row>
    <row r="32" spans="2:3" ht="25.5" customHeight="1" hidden="1">
      <c r="B32" s="42" t="s">
        <v>9</v>
      </c>
      <c r="C32" s="45" t="s">
        <v>22</v>
      </c>
    </row>
    <row r="33" spans="2:3" ht="25.5" customHeight="1" hidden="1">
      <c r="B33" s="42" t="s">
        <v>0</v>
      </c>
      <c r="C33" s="45" t="s">
        <v>5</v>
      </c>
    </row>
    <row r="34" spans="2:3" ht="25.5" customHeight="1" hidden="1">
      <c r="B34" s="42" t="s">
        <v>0</v>
      </c>
      <c r="C34" s="45" t="s">
        <v>10</v>
      </c>
    </row>
    <row r="35" spans="2:3" ht="25.5" customHeight="1" hidden="1">
      <c r="B35" s="42" t="s">
        <v>0</v>
      </c>
      <c r="C35" s="45" t="s">
        <v>6</v>
      </c>
    </row>
    <row r="36" spans="2:3" ht="25.5" customHeight="1" hidden="1">
      <c r="B36" s="42" t="s">
        <v>0</v>
      </c>
      <c r="C36" s="45" t="s">
        <v>7</v>
      </c>
    </row>
    <row r="37" spans="2:3" ht="25.5" customHeight="1" hidden="1">
      <c r="B37" s="42" t="s">
        <v>0</v>
      </c>
      <c r="C37" s="45" t="s">
        <v>11</v>
      </c>
    </row>
    <row r="38" spans="2:3" ht="25.5" customHeight="1" hidden="1">
      <c r="B38" s="42" t="s">
        <v>0</v>
      </c>
      <c r="C38" s="45" t="s">
        <v>12</v>
      </c>
    </row>
    <row r="39" spans="2:3" ht="25.5" customHeight="1" hidden="1">
      <c r="B39" s="41" t="s">
        <v>13</v>
      </c>
      <c r="C39" s="45" t="s">
        <v>5</v>
      </c>
    </row>
    <row r="40" spans="2:3" ht="25.5" customHeight="1" hidden="1">
      <c r="B40" s="41" t="s">
        <v>13</v>
      </c>
      <c r="C40" s="45" t="s">
        <v>10</v>
      </c>
    </row>
    <row r="41" spans="2:3" ht="25.5" customHeight="1" hidden="1">
      <c r="B41" s="41" t="s">
        <v>13</v>
      </c>
      <c r="C41" s="45" t="s">
        <v>6</v>
      </c>
    </row>
    <row r="42" spans="2:3" ht="25.5" customHeight="1" hidden="1">
      <c r="B42" s="41" t="s">
        <v>13</v>
      </c>
      <c r="C42" s="45" t="s">
        <v>7</v>
      </c>
    </row>
    <row r="43" spans="2:3" ht="25.5" customHeight="1" hidden="1">
      <c r="B43" s="41" t="s">
        <v>13</v>
      </c>
      <c r="C43" s="45" t="s">
        <v>11</v>
      </c>
    </row>
    <row r="44" spans="2:3" ht="25.5" customHeight="1" hidden="1">
      <c r="B44" s="41" t="s">
        <v>14</v>
      </c>
      <c r="C44" s="45" t="s">
        <v>7</v>
      </c>
    </row>
    <row r="45" spans="2:3" ht="25.5" customHeight="1" hidden="1">
      <c r="B45" s="41" t="s">
        <v>14</v>
      </c>
      <c r="C45" s="46" t="s">
        <v>1</v>
      </c>
    </row>
    <row r="46" spans="2:3" ht="25.5" customHeight="1" hidden="1">
      <c r="B46" s="41" t="s">
        <v>15</v>
      </c>
      <c r="C46" s="46" t="s">
        <v>16</v>
      </c>
    </row>
    <row r="47" spans="2:3" ht="25.5" customHeight="1" hidden="1">
      <c r="B47" s="41" t="s">
        <v>15</v>
      </c>
      <c r="C47" s="46" t="s">
        <v>12</v>
      </c>
    </row>
    <row r="48" spans="2:3" ht="25.5" customHeight="1" hidden="1">
      <c r="B48" s="42" t="s">
        <v>17</v>
      </c>
      <c r="C48" s="47" t="s">
        <v>18</v>
      </c>
    </row>
    <row r="49" spans="2:3" ht="25.5" customHeight="1" hidden="1">
      <c r="B49" s="42" t="s">
        <v>17</v>
      </c>
      <c r="C49" s="46" t="s">
        <v>16</v>
      </c>
    </row>
    <row r="50" spans="2:3" ht="25.5" customHeight="1" hidden="1">
      <c r="B50" s="43" t="s">
        <v>20</v>
      </c>
      <c r="C50" s="48" t="s">
        <v>5</v>
      </c>
    </row>
    <row r="51" spans="2:3" ht="25.5" customHeight="1" hidden="1">
      <c r="B51" s="43" t="s">
        <v>20</v>
      </c>
      <c r="C51" s="48" t="s">
        <v>10</v>
      </c>
    </row>
    <row r="52" spans="2:3" ht="25.5" customHeight="1" hidden="1">
      <c r="B52" s="43" t="s">
        <v>20</v>
      </c>
      <c r="C52" s="48" t="s">
        <v>21</v>
      </c>
    </row>
    <row r="53" spans="2:3" ht="25.5" customHeight="1" hidden="1">
      <c r="B53" s="43" t="s">
        <v>20</v>
      </c>
      <c r="C53" s="48" t="s">
        <v>23</v>
      </c>
    </row>
    <row r="54" spans="2:3" ht="25.5" customHeight="1" hidden="1">
      <c r="B54" s="93" t="s">
        <v>153</v>
      </c>
      <c r="C54" s="48" t="s">
        <v>162</v>
      </c>
    </row>
    <row r="55" spans="2:3" ht="25.5" customHeight="1" hidden="1">
      <c r="B55" s="43" t="s">
        <v>153</v>
      </c>
      <c r="C55" s="48" t="s">
        <v>163</v>
      </c>
    </row>
    <row r="56" spans="2:3" ht="25.5" customHeight="1" hidden="1">
      <c r="B56" s="93" t="s">
        <v>153</v>
      </c>
      <c r="C56" s="133" t="s">
        <v>155</v>
      </c>
    </row>
    <row r="57" spans="2:3" ht="25.5" customHeight="1" hidden="1">
      <c r="B57" s="43" t="s">
        <v>153</v>
      </c>
      <c r="C57" s="48" t="s">
        <v>160</v>
      </c>
    </row>
    <row r="58" spans="2:3" ht="25.5" customHeight="1" hidden="1">
      <c r="B58" s="43" t="s">
        <v>153</v>
      </c>
      <c r="C58" s="48" t="s">
        <v>157</v>
      </c>
    </row>
    <row r="59" spans="2:3" ht="25.5" customHeight="1" hidden="1">
      <c r="B59" s="43" t="s">
        <v>153</v>
      </c>
      <c r="C59" s="48" t="s">
        <v>159</v>
      </c>
    </row>
    <row r="60" spans="2:3" ht="25.5" customHeight="1" hidden="1">
      <c r="B60" s="76" t="s">
        <v>153</v>
      </c>
      <c r="C60" s="134" t="s">
        <v>158</v>
      </c>
    </row>
    <row r="61" ht="10.5" hidden="1">
      <c r="C61" s="135"/>
    </row>
  </sheetData>
  <sheetProtection autoFilter="0"/>
  <mergeCells count="18">
    <mergeCell ref="H2:H5"/>
    <mergeCell ref="I2:L2"/>
    <mergeCell ref="M2:N2"/>
    <mergeCell ref="I3:L3"/>
    <mergeCell ref="M3:N3"/>
    <mergeCell ref="I4:L4"/>
    <mergeCell ref="M4:N4"/>
    <mergeCell ref="I5:L5"/>
    <mergeCell ref="M5:N5"/>
    <mergeCell ref="A22:C22"/>
    <mergeCell ref="A23:C23"/>
    <mergeCell ref="A12:A21"/>
    <mergeCell ref="A7:C7"/>
    <mergeCell ref="A8:B8"/>
    <mergeCell ref="A9:C9"/>
    <mergeCell ref="A10:A11"/>
    <mergeCell ref="B10:C10"/>
    <mergeCell ref="B11:C11"/>
  </mergeCells>
  <dataValidations count="9">
    <dataValidation type="list" allowBlank="1" showInputMessage="1" showErrorMessage="1" sqref="C14">
      <formula1>$C$33:$C$38</formula1>
    </dataValidation>
    <dataValidation type="list" allowBlank="1" showInputMessage="1" showErrorMessage="1" sqref="C15">
      <formula1>$C$39:$C$43</formula1>
    </dataValidation>
    <dataValidation type="list" allowBlank="1" showInputMessage="1" showErrorMessage="1" sqref="C17">
      <formula1>$C$44:$C$45</formula1>
    </dataValidation>
    <dataValidation type="list" allowBlank="1" showInputMessage="1" showErrorMessage="1" sqref="C18">
      <formula1>$C$46:$C$47</formula1>
    </dataValidation>
    <dataValidation type="list" allowBlank="1" showInputMessage="1" showErrorMessage="1" sqref="C19">
      <formula1>$C$48:$C$49</formula1>
    </dataValidation>
    <dataValidation type="list" allowBlank="1" showInputMessage="1" showErrorMessage="1" sqref="C21">
      <formula1>$C$50:$C$53</formula1>
    </dataValidation>
    <dataValidation type="list" allowBlank="1" showInputMessage="1" showErrorMessage="1" sqref="C13">
      <formula1>$C$30:$C$32</formula1>
    </dataValidation>
    <dataValidation type="list" allowBlank="1" showInputMessage="1" showErrorMessage="1" sqref="C12">
      <formula1>$C$26:$C$29</formula1>
    </dataValidation>
    <dataValidation type="list" allowBlank="1" showInputMessage="1" showErrorMessage="1" sqref="C16">
      <formula1>$C$54:$C$60</formula1>
    </dataValidation>
  </dataValidations>
  <printOptions horizontalCentered="1"/>
  <pageMargins left="0.1968503937007874" right="0.1968503937007874" top="0.1968503937007874" bottom="0.1968503937007874" header="0.31496062992125984" footer="0.31496062992125984"/>
  <pageSetup fitToHeight="0" horizontalDpi="600" verticalDpi="600" orientation="landscape" paperSize="8" scale="98" r:id="rId2"/>
  <drawing r:id="rId1"/>
</worksheet>
</file>

<file path=xl/worksheets/sheet2.xml><?xml version="1.0" encoding="utf-8"?>
<worksheet xmlns="http://schemas.openxmlformats.org/spreadsheetml/2006/main" xmlns:r="http://schemas.openxmlformats.org/officeDocument/2006/relationships">
  <dimension ref="A1:AB38"/>
  <sheetViews>
    <sheetView zoomScalePageLayoutView="0" workbookViewId="0" topLeftCell="A1">
      <pane ySplit="1" topLeftCell="A5" activePane="bottomLeft" state="frozen"/>
      <selection pane="topLeft" activeCell="A1" sqref="A1"/>
      <selection pane="bottomLeft" activeCell="A1" sqref="A1"/>
    </sheetView>
  </sheetViews>
  <sheetFormatPr defaultColWidth="9.140625" defaultRowHeight="15"/>
  <cols>
    <col min="1" max="1" width="6.28125" style="3" customWidth="1"/>
    <col min="2" max="2" width="7.8515625" style="3" customWidth="1"/>
    <col min="3" max="14" width="15.140625" style="3" customWidth="1"/>
    <col min="15" max="16384" width="8.8515625" style="3" customWidth="1"/>
  </cols>
  <sheetData>
    <row r="1" spans="1:14" ht="12.75">
      <c r="A1" s="49"/>
      <c r="B1" s="50"/>
      <c r="C1" s="44">
        <v>4</v>
      </c>
      <c r="D1" s="39">
        <v>5</v>
      </c>
      <c r="E1" s="39">
        <v>6</v>
      </c>
      <c r="F1" s="39">
        <v>7</v>
      </c>
      <c r="G1" s="39">
        <v>9</v>
      </c>
      <c r="H1" s="39">
        <v>10</v>
      </c>
      <c r="I1" s="39">
        <v>11</v>
      </c>
      <c r="J1" s="39">
        <v>12</v>
      </c>
      <c r="K1" s="39">
        <v>1</v>
      </c>
      <c r="L1" s="39">
        <v>2</v>
      </c>
      <c r="M1" s="64">
        <v>3</v>
      </c>
      <c r="N1" s="40" t="s">
        <v>70</v>
      </c>
    </row>
    <row r="2" spans="1:28" s="115" customFormat="1" ht="130.5" customHeight="1">
      <c r="A2" s="124" t="s">
        <v>3</v>
      </c>
      <c r="B2" s="125" t="s">
        <v>19</v>
      </c>
      <c r="C2" s="89" t="s">
        <v>71</v>
      </c>
      <c r="D2" s="90" t="s">
        <v>72</v>
      </c>
      <c r="E2" s="90" t="s">
        <v>147</v>
      </c>
      <c r="F2" s="90" t="s">
        <v>148</v>
      </c>
      <c r="G2" s="90" t="s">
        <v>73</v>
      </c>
      <c r="H2" s="90" t="s">
        <v>74</v>
      </c>
      <c r="I2" s="90" t="s">
        <v>149</v>
      </c>
      <c r="J2" s="90" t="s">
        <v>75</v>
      </c>
      <c r="K2" s="90" t="s">
        <v>150</v>
      </c>
      <c r="L2" s="90" t="s">
        <v>76</v>
      </c>
      <c r="M2" s="113" t="s">
        <v>93</v>
      </c>
      <c r="N2" s="51" t="s">
        <v>151</v>
      </c>
      <c r="O2" s="114"/>
      <c r="P2" s="114"/>
      <c r="Q2" s="114"/>
      <c r="R2" s="114"/>
      <c r="S2" s="114"/>
      <c r="T2" s="114"/>
      <c r="U2" s="114"/>
      <c r="V2" s="114"/>
      <c r="W2" s="114"/>
      <c r="X2" s="114"/>
      <c r="Y2" s="114"/>
      <c r="Z2" s="114"/>
      <c r="AA2" s="114"/>
      <c r="AB2" s="114"/>
    </row>
    <row r="3" spans="1:28" ht="152.25" customHeight="1">
      <c r="A3" s="126" t="s">
        <v>4</v>
      </c>
      <c r="B3" s="127" t="s">
        <v>5</v>
      </c>
      <c r="C3" s="107" t="s">
        <v>245</v>
      </c>
      <c r="D3" s="108" t="s">
        <v>246</v>
      </c>
      <c r="E3" s="108" t="s">
        <v>247</v>
      </c>
      <c r="F3" s="108" t="s">
        <v>248</v>
      </c>
      <c r="G3" s="108" t="s">
        <v>249</v>
      </c>
      <c r="H3" s="108" t="s">
        <v>250</v>
      </c>
      <c r="I3" s="108" t="s">
        <v>251</v>
      </c>
      <c r="J3" s="108" t="s">
        <v>252</v>
      </c>
      <c r="K3" s="108" t="s">
        <v>253</v>
      </c>
      <c r="L3" s="108" t="s">
        <v>489</v>
      </c>
      <c r="M3" s="109" t="s">
        <v>254</v>
      </c>
      <c r="N3" s="110" t="s">
        <v>294</v>
      </c>
      <c r="O3" s="2"/>
      <c r="P3" s="2"/>
      <c r="Q3" s="2"/>
      <c r="R3" s="2"/>
      <c r="S3" s="2"/>
      <c r="T3" s="2"/>
      <c r="U3" s="2"/>
      <c r="V3" s="2"/>
      <c r="W3" s="2"/>
      <c r="X3" s="2"/>
      <c r="Y3" s="2"/>
      <c r="Z3" s="2"/>
      <c r="AA3" s="2"/>
      <c r="AB3" s="2"/>
    </row>
    <row r="4" spans="1:28" ht="218.25">
      <c r="A4" s="126" t="s">
        <v>4</v>
      </c>
      <c r="B4" s="127" t="s">
        <v>6</v>
      </c>
      <c r="C4" s="107" t="s">
        <v>255</v>
      </c>
      <c r="D4" s="108" t="s">
        <v>256</v>
      </c>
      <c r="E4" s="108" t="s">
        <v>377</v>
      </c>
      <c r="F4" s="108" t="s">
        <v>494</v>
      </c>
      <c r="G4" s="108" t="s">
        <v>257</v>
      </c>
      <c r="H4" s="108" t="s">
        <v>258</v>
      </c>
      <c r="I4" s="108" t="s">
        <v>259</v>
      </c>
      <c r="J4" s="108" t="s">
        <v>260</v>
      </c>
      <c r="K4" s="108" t="s">
        <v>261</v>
      </c>
      <c r="L4" s="108" t="s">
        <v>262</v>
      </c>
      <c r="M4" s="109" t="s">
        <v>263</v>
      </c>
      <c r="N4" s="110" t="s">
        <v>264</v>
      </c>
      <c r="O4" s="2"/>
      <c r="P4" s="2"/>
      <c r="Q4" s="2"/>
      <c r="R4" s="2"/>
      <c r="S4" s="2"/>
      <c r="T4" s="2"/>
      <c r="U4" s="2"/>
      <c r="V4" s="2"/>
      <c r="W4" s="2"/>
      <c r="X4" s="2"/>
      <c r="Y4" s="2"/>
      <c r="Z4" s="2"/>
      <c r="AA4" s="2"/>
      <c r="AB4" s="2"/>
    </row>
    <row r="5" spans="1:28" ht="184.5">
      <c r="A5" s="126" t="s">
        <v>4</v>
      </c>
      <c r="B5" s="127" t="s">
        <v>7</v>
      </c>
      <c r="C5" s="94" t="s">
        <v>265</v>
      </c>
      <c r="D5" s="95" t="s">
        <v>490</v>
      </c>
      <c r="E5" s="95" t="s">
        <v>266</v>
      </c>
      <c r="F5" s="95" t="s">
        <v>267</v>
      </c>
      <c r="G5" s="95" t="s">
        <v>268</v>
      </c>
      <c r="H5" s="95" t="s">
        <v>269</v>
      </c>
      <c r="I5" s="95" t="s">
        <v>270</v>
      </c>
      <c r="J5" s="95" t="s">
        <v>271</v>
      </c>
      <c r="K5" s="95" t="s">
        <v>272</v>
      </c>
      <c r="L5" s="95" t="s">
        <v>495</v>
      </c>
      <c r="M5" s="97" t="s">
        <v>273</v>
      </c>
      <c r="N5" s="98" t="s">
        <v>274</v>
      </c>
      <c r="O5" s="2"/>
      <c r="P5" s="2"/>
      <c r="Q5" s="2"/>
      <c r="R5" s="2"/>
      <c r="S5" s="2"/>
      <c r="T5" s="2"/>
      <c r="U5" s="2"/>
      <c r="V5" s="2"/>
      <c r="W5" s="2"/>
      <c r="X5" s="2"/>
      <c r="Y5" s="2"/>
      <c r="Z5" s="2"/>
      <c r="AA5" s="2"/>
      <c r="AB5" s="2"/>
    </row>
    <row r="6" spans="1:28" ht="231" customHeight="1">
      <c r="A6" s="126" t="s">
        <v>4</v>
      </c>
      <c r="B6" s="127" t="s">
        <v>8</v>
      </c>
      <c r="C6" s="94" t="s">
        <v>358</v>
      </c>
      <c r="D6" s="95" t="s">
        <v>275</v>
      </c>
      <c r="E6" s="95" t="s">
        <v>276</v>
      </c>
      <c r="F6" s="95" t="s">
        <v>277</v>
      </c>
      <c r="G6" s="95" t="s">
        <v>278</v>
      </c>
      <c r="H6" s="95" t="s">
        <v>491</v>
      </c>
      <c r="I6" s="95" t="s">
        <v>279</v>
      </c>
      <c r="J6" s="95" t="s">
        <v>280</v>
      </c>
      <c r="K6" s="95" t="s">
        <v>281</v>
      </c>
      <c r="L6" s="95" t="s">
        <v>282</v>
      </c>
      <c r="M6" s="97" t="s">
        <v>283</v>
      </c>
      <c r="N6" s="98"/>
      <c r="O6" s="2"/>
      <c r="P6" s="2"/>
      <c r="Q6" s="2"/>
      <c r="R6" s="2"/>
      <c r="S6" s="2"/>
      <c r="T6" s="2"/>
      <c r="U6" s="2"/>
      <c r="V6" s="2"/>
      <c r="W6" s="2"/>
      <c r="X6" s="2"/>
      <c r="Y6" s="2"/>
      <c r="Z6" s="2"/>
      <c r="AA6" s="2"/>
      <c r="AB6" s="2"/>
    </row>
    <row r="7" spans="1:28" ht="168">
      <c r="A7" s="124" t="s">
        <v>9</v>
      </c>
      <c r="B7" s="127" t="s">
        <v>5</v>
      </c>
      <c r="C7" s="107" t="s">
        <v>481</v>
      </c>
      <c r="D7" s="108" t="s">
        <v>482</v>
      </c>
      <c r="E7" s="108" t="s">
        <v>496</v>
      </c>
      <c r="F7" s="108" t="s">
        <v>288</v>
      </c>
      <c r="G7" s="108" t="s">
        <v>483</v>
      </c>
      <c r="H7" s="108" t="s">
        <v>484</v>
      </c>
      <c r="I7" s="108" t="s">
        <v>485</v>
      </c>
      <c r="J7" s="108" t="s">
        <v>359</v>
      </c>
      <c r="K7" s="108" t="s">
        <v>486</v>
      </c>
      <c r="L7" s="108" t="s">
        <v>487</v>
      </c>
      <c r="M7" s="109" t="s">
        <v>488</v>
      </c>
      <c r="N7" s="98"/>
      <c r="O7" s="2"/>
      <c r="P7" s="2"/>
      <c r="Q7" s="2"/>
      <c r="R7" s="2"/>
      <c r="S7" s="2"/>
      <c r="T7" s="2"/>
      <c r="U7" s="2"/>
      <c r="V7" s="2"/>
      <c r="W7" s="2"/>
      <c r="X7" s="2"/>
      <c r="Y7" s="2"/>
      <c r="Z7" s="2"/>
      <c r="AA7" s="2"/>
      <c r="AB7" s="2"/>
    </row>
    <row r="8" spans="1:28" ht="159">
      <c r="A8" s="124" t="s">
        <v>9</v>
      </c>
      <c r="B8" s="127" t="s">
        <v>7</v>
      </c>
      <c r="C8" s="107" t="s">
        <v>477</v>
      </c>
      <c r="D8" s="108" t="s">
        <v>287</v>
      </c>
      <c r="E8" s="108" t="s">
        <v>360</v>
      </c>
      <c r="F8" s="108" t="s">
        <v>289</v>
      </c>
      <c r="G8" s="108" t="s">
        <v>478</v>
      </c>
      <c r="H8" s="108" t="s">
        <v>479</v>
      </c>
      <c r="I8" s="108" t="s">
        <v>290</v>
      </c>
      <c r="J8" s="108" t="s">
        <v>361</v>
      </c>
      <c r="K8" s="108" t="s">
        <v>480</v>
      </c>
      <c r="L8" s="108" t="s">
        <v>291</v>
      </c>
      <c r="M8" s="109" t="s">
        <v>286</v>
      </c>
      <c r="N8" s="98"/>
      <c r="O8" s="2"/>
      <c r="P8" s="2"/>
      <c r="Q8" s="2"/>
      <c r="R8" s="2"/>
      <c r="S8" s="2"/>
      <c r="T8" s="2"/>
      <c r="U8" s="2"/>
      <c r="V8" s="2"/>
      <c r="W8" s="2"/>
      <c r="X8" s="2"/>
      <c r="Y8" s="2"/>
      <c r="Z8" s="2"/>
      <c r="AA8" s="2"/>
      <c r="AB8" s="2"/>
    </row>
    <row r="9" spans="1:28" ht="168">
      <c r="A9" s="124" t="s">
        <v>9</v>
      </c>
      <c r="B9" s="127" t="s">
        <v>22</v>
      </c>
      <c r="C9" s="107" t="s">
        <v>357</v>
      </c>
      <c r="D9" s="108" t="s">
        <v>472</v>
      </c>
      <c r="E9" s="108" t="s">
        <v>473</v>
      </c>
      <c r="F9" s="108" t="s">
        <v>284</v>
      </c>
      <c r="G9" s="108" t="s">
        <v>285</v>
      </c>
      <c r="H9" s="108" t="s">
        <v>474</v>
      </c>
      <c r="I9" s="108" t="s">
        <v>475</v>
      </c>
      <c r="J9" s="108"/>
      <c r="K9" s="108" t="s">
        <v>292</v>
      </c>
      <c r="L9" s="108" t="s">
        <v>476</v>
      </c>
      <c r="M9" s="109" t="s">
        <v>293</v>
      </c>
      <c r="N9" s="98"/>
      <c r="O9" s="2"/>
      <c r="P9" s="2"/>
      <c r="Q9" s="2"/>
      <c r="R9" s="2"/>
      <c r="S9" s="2"/>
      <c r="T9" s="2"/>
      <c r="U9" s="2"/>
      <c r="V9" s="2"/>
      <c r="W9" s="2"/>
      <c r="X9" s="2"/>
      <c r="Y9" s="2"/>
      <c r="Z9" s="2"/>
      <c r="AA9" s="2"/>
      <c r="AB9" s="2"/>
    </row>
    <row r="10" spans="1:28" ht="126">
      <c r="A10" s="124" t="s">
        <v>0</v>
      </c>
      <c r="B10" s="127" t="s">
        <v>5</v>
      </c>
      <c r="C10" s="94" t="s">
        <v>464</v>
      </c>
      <c r="D10" s="95" t="s">
        <v>465</v>
      </c>
      <c r="E10" s="95" t="s">
        <v>466</v>
      </c>
      <c r="F10" s="95" t="s">
        <v>368</v>
      </c>
      <c r="G10" s="95" t="s">
        <v>467</v>
      </c>
      <c r="H10" s="95" t="s">
        <v>468</v>
      </c>
      <c r="I10" s="95" t="s">
        <v>469</v>
      </c>
      <c r="J10" s="95" t="s">
        <v>295</v>
      </c>
      <c r="K10" s="95" t="s">
        <v>470</v>
      </c>
      <c r="L10" s="95" t="s">
        <v>471</v>
      </c>
      <c r="M10" s="97" t="s">
        <v>369</v>
      </c>
      <c r="N10" s="98"/>
      <c r="O10" s="2"/>
      <c r="P10" s="2"/>
      <c r="Q10" s="2"/>
      <c r="R10" s="2"/>
      <c r="S10" s="2"/>
      <c r="T10" s="2"/>
      <c r="U10" s="2"/>
      <c r="V10" s="2"/>
      <c r="W10" s="2"/>
      <c r="X10" s="2"/>
      <c r="Y10" s="2"/>
      <c r="Z10" s="2"/>
      <c r="AA10" s="2"/>
      <c r="AB10" s="2"/>
    </row>
    <row r="11" spans="1:28" ht="134.25">
      <c r="A11" s="124" t="s">
        <v>0</v>
      </c>
      <c r="B11" s="127" t="s">
        <v>10</v>
      </c>
      <c r="C11" s="94" t="s">
        <v>457</v>
      </c>
      <c r="D11" s="95" t="s">
        <v>458</v>
      </c>
      <c r="E11" s="95" t="s">
        <v>296</v>
      </c>
      <c r="F11" s="95"/>
      <c r="G11" s="95" t="s">
        <v>459</v>
      </c>
      <c r="H11" s="95" t="s">
        <v>460</v>
      </c>
      <c r="I11" s="95" t="s">
        <v>461</v>
      </c>
      <c r="J11" s="95"/>
      <c r="K11" s="95" t="s">
        <v>462</v>
      </c>
      <c r="L11" s="95" t="s">
        <v>463</v>
      </c>
      <c r="M11" s="97" t="s">
        <v>376</v>
      </c>
      <c r="N11" s="98"/>
      <c r="O11" s="2"/>
      <c r="P11" s="2"/>
      <c r="Q11" s="2"/>
      <c r="R11" s="2"/>
      <c r="S11" s="2"/>
      <c r="T11" s="2"/>
      <c r="U11" s="2"/>
      <c r="V11" s="2"/>
      <c r="W11" s="2"/>
      <c r="X11" s="2"/>
      <c r="Y11" s="2"/>
      <c r="Z11" s="2"/>
      <c r="AA11" s="2"/>
      <c r="AB11" s="2"/>
    </row>
    <row r="12" spans="1:28" ht="117">
      <c r="A12" s="124" t="s">
        <v>0</v>
      </c>
      <c r="B12" s="127" t="s">
        <v>6</v>
      </c>
      <c r="C12" s="94" t="s">
        <v>455</v>
      </c>
      <c r="D12" s="95" t="s">
        <v>456</v>
      </c>
      <c r="E12" s="95" t="s">
        <v>454</v>
      </c>
      <c r="F12" s="95" t="s">
        <v>453</v>
      </c>
      <c r="G12" s="95" t="s">
        <v>492</v>
      </c>
      <c r="H12" s="95" t="s">
        <v>452</v>
      </c>
      <c r="I12" s="95" t="s">
        <v>451</v>
      </c>
      <c r="J12" s="95" t="s">
        <v>370</v>
      </c>
      <c r="K12" s="95" t="s">
        <v>450</v>
      </c>
      <c r="L12" s="95" t="s">
        <v>449</v>
      </c>
      <c r="M12" s="97" t="s">
        <v>448</v>
      </c>
      <c r="N12" s="98"/>
      <c r="O12" s="2"/>
      <c r="P12" s="2"/>
      <c r="Q12" s="2"/>
      <c r="R12" s="2"/>
      <c r="S12" s="2"/>
      <c r="T12" s="2"/>
      <c r="U12" s="2"/>
      <c r="V12" s="2"/>
      <c r="W12" s="2"/>
      <c r="X12" s="2"/>
      <c r="Y12" s="2"/>
      <c r="Z12" s="2"/>
      <c r="AA12" s="2"/>
      <c r="AB12" s="2"/>
    </row>
    <row r="13" spans="1:28" ht="123" customHeight="1">
      <c r="A13" s="124" t="s">
        <v>0</v>
      </c>
      <c r="B13" s="127" t="s">
        <v>7</v>
      </c>
      <c r="C13" s="94" t="s">
        <v>439</v>
      </c>
      <c r="D13" s="95" t="s">
        <v>440</v>
      </c>
      <c r="E13" s="95" t="s">
        <v>441</v>
      </c>
      <c r="F13" s="95" t="s">
        <v>371</v>
      </c>
      <c r="G13" s="95" t="s">
        <v>442</v>
      </c>
      <c r="H13" s="95" t="s">
        <v>443</v>
      </c>
      <c r="I13" s="95" t="s">
        <v>444</v>
      </c>
      <c r="J13" s="95" t="s">
        <v>445</v>
      </c>
      <c r="K13" s="95" t="s">
        <v>297</v>
      </c>
      <c r="L13" s="95" t="s">
        <v>446</v>
      </c>
      <c r="M13" s="97" t="s">
        <v>447</v>
      </c>
      <c r="N13" s="98"/>
      <c r="O13" s="2"/>
      <c r="P13" s="2"/>
      <c r="Q13" s="2"/>
      <c r="R13" s="2"/>
      <c r="S13" s="2"/>
      <c r="T13" s="2"/>
      <c r="U13" s="2"/>
      <c r="V13" s="2"/>
      <c r="W13" s="2"/>
      <c r="X13" s="2"/>
      <c r="Y13" s="2"/>
      <c r="Z13" s="2"/>
      <c r="AA13" s="2"/>
      <c r="AB13" s="2"/>
    </row>
    <row r="14" spans="1:28" ht="108.75">
      <c r="A14" s="124" t="s">
        <v>0</v>
      </c>
      <c r="B14" s="127" t="s">
        <v>11</v>
      </c>
      <c r="C14" s="94" t="s">
        <v>433</v>
      </c>
      <c r="D14" s="95" t="s">
        <v>434</v>
      </c>
      <c r="E14" s="95" t="s">
        <v>435</v>
      </c>
      <c r="F14" s="95" t="s">
        <v>372</v>
      </c>
      <c r="G14" s="95" t="s">
        <v>436</v>
      </c>
      <c r="H14" s="95" t="s">
        <v>375</v>
      </c>
      <c r="I14" s="95" t="s">
        <v>437</v>
      </c>
      <c r="J14" s="95" t="s">
        <v>373</v>
      </c>
      <c r="K14" s="95" t="s">
        <v>493</v>
      </c>
      <c r="L14" s="95" t="s">
        <v>438</v>
      </c>
      <c r="M14" s="97" t="s">
        <v>374</v>
      </c>
      <c r="N14" s="98"/>
      <c r="O14" s="2"/>
      <c r="P14" s="2"/>
      <c r="Q14" s="2"/>
      <c r="R14" s="2"/>
      <c r="S14" s="2"/>
      <c r="T14" s="2"/>
      <c r="U14" s="2"/>
      <c r="V14" s="2"/>
      <c r="W14" s="2"/>
      <c r="X14" s="2"/>
      <c r="Y14" s="2"/>
      <c r="Z14" s="2"/>
      <c r="AA14" s="2"/>
      <c r="AB14" s="2"/>
    </row>
    <row r="15" spans="1:28" ht="108.75">
      <c r="A15" s="124" t="s">
        <v>0</v>
      </c>
      <c r="B15" s="127" t="s">
        <v>12</v>
      </c>
      <c r="C15" s="94" t="s">
        <v>432</v>
      </c>
      <c r="D15" s="95" t="s">
        <v>431</v>
      </c>
      <c r="E15" s="95" t="s">
        <v>430</v>
      </c>
      <c r="F15" s="95"/>
      <c r="G15" s="95" t="s">
        <v>429</v>
      </c>
      <c r="H15" s="95" t="s">
        <v>428</v>
      </c>
      <c r="I15" s="95" t="s">
        <v>427</v>
      </c>
      <c r="J15" s="95"/>
      <c r="K15" s="95" t="s">
        <v>298</v>
      </c>
      <c r="L15" s="95" t="s">
        <v>426</v>
      </c>
      <c r="M15" s="97" t="s">
        <v>425</v>
      </c>
      <c r="N15" s="98"/>
      <c r="O15" s="2"/>
      <c r="P15" s="2"/>
      <c r="Q15" s="2"/>
      <c r="R15" s="2"/>
      <c r="S15" s="2"/>
      <c r="T15" s="2"/>
      <c r="U15" s="2"/>
      <c r="V15" s="2"/>
      <c r="W15" s="2"/>
      <c r="X15" s="2"/>
      <c r="Y15" s="2"/>
      <c r="Z15" s="2"/>
      <c r="AA15" s="2"/>
      <c r="AB15" s="2"/>
    </row>
    <row r="16" spans="1:28" ht="58.5">
      <c r="A16" s="126" t="s">
        <v>13</v>
      </c>
      <c r="B16" s="127" t="s">
        <v>5</v>
      </c>
      <c r="C16" s="94" t="s">
        <v>365</v>
      </c>
      <c r="D16" s="95" t="s">
        <v>172</v>
      </c>
      <c r="E16" s="95" t="s">
        <v>173</v>
      </c>
      <c r="F16" s="95" t="s">
        <v>356</v>
      </c>
      <c r="G16" s="95" t="s">
        <v>174</v>
      </c>
      <c r="H16" s="95" t="s">
        <v>424</v>
      </c>
      <c r="I16" s="95" t="s">
        <v>366</v>
      </c>
      <c r="J16" s="95" t="s">
        <v>363</v>
      </c>
      <c r="K16" s="95"/>
      <c r="L16" s="95" t="s">
        <v>367</v>
      </c>
      <c r="M16" s="97" t="s">
        <v>364</v>
      </c>
      <c r="N16" s="98"/>
      <c r="O16" s="2"/>
      <c r="P16" s="2"/>
      <c r="Q16" s="2"/>
      <c r="R16" s="2"/>
      <c r="S16" s="2"/>
      <c r="T16" s="2"/>
      <c r="U16" s="2"/>
      <c r="V16" s="2"/>
      <c r="W16" s="2"/>
      <c r="X16" s="2"/>
      <c r="Y16" s="2"/>
      <c r="Z16" s="2"/>
      <c r="AA16" s="2"/>
      <c r="AB16" s="2"/>
    </row>
    <row r="17" spans="1:28" ht="96" customHeight="1">
      <c r="A17" s="126" t="s">
        <v>13</v>
      </c>
      <c r="B17" s="127" t="s">
        <v>10</v>
      </c>
      <c r="C17" s="94" t="s">
        <v>175</v>
      </c>
      <c r="D17" s="95" t="s">
        <v>176</v>
      </c>
      <c r="E17" s="95" t="s">
        <v>177</v>
      </c>
      <c r="F17" s="95" t="s">
        <v>422</v>
      </c>
      <c r="G17" s="95" t="s">
        <v>423</v>
      </c>
      <c r="H17" s="95" t="s">
        <v>178</v>
      </c>
      <c r="I17" s="95" t="s">
        <v>179</v>
      </c>
      <c r="K17" s="95" t="s">
        <v>180</v>
      </c>
      <c r="L17" s="95" t="s">
        <v>181</v>
      </c>
      <c r="M17" s="97" t="s">
        <v>355</v>
      </c>
      <c r="N17" s="98"/>
      <c r="O17" s="2"/>
      <c r="P17" s="2"/>
      <c r="Q17" s="2"/>
      <c r="R17" s="2"/>
      <c r="S17" s="2"/>
      <c r="T17" s="2"/>
      <c r="U17" s="2"/>
      <c r="V17" s="2"/>
      <c r="W17" s="2"/>
      <c r="X17" s="2"/>
      <c r="Y17" s="2"/>
      <c r="Z17" s="2"/>
      <c r="AA17" s="2"/>
      <c r="AB17" s="2"/>
    </row>
    <row r="18" spans="1:28" ht="69" customHeight="1">
      <c r="A18" s="126" t="s">
        <v>13</v>
      </c>
      <c r="B18" s="127" t="s">
        <v>6</v>
      </c>
      <c r="C18" s="94" t="s">
        <v>182</v>
      </c>
      <c r="D18" s="95" t="s">
        <v>183</v>
      </c>
      <c r="E18" s="95" t="s">
        <v>184</v>
      </c>
      <c r="F18" s="95" t="s">
        <v>421</v>
      </c>
      <c r="G18" s="95" t="s">
        <v>420</v>
      </c>
      <c r="H18" s="95" t="s">
        <v>243</v>
      </c>
      <c r="I18" s="95" t="s">
        <v>185</v>
      </c>
      <c r="J18" s="95"/>
      <c r="K18" s="95" t="s">
        <v>419</v>
      </c>
      <c r="L18" s="95" t="s">
        <v>244</v>
      </c>
      <c r="M18" s="97" t="s">
        <v>186</v>
      </c>
      <c r="N18" s="98"/>
      <c r="O18" s="2"/>
      <c r="P18" s="2"/>
      <c r="Q18" s="2"/>
      <c r="R18" s="2"/>
      <c r="S18" s="2"/>
      <c r="T18" s="2"/>
      <c r="U18" s="2"/>
      <c r="V18" s="2"/>
      <c r="W18" s="2"/>
      <c r="X18" s="2"/>
      <c r="Y18" s="2"/>
      <c r="Z18" s="2"/>
      <c r="AA18" s="2"/>
      <c r="AB18" s="2"/>
    </row>
    <row r="19" spans="1:28" ht="84" customHeight="1">
      <c r="A19" s="126" t="s">
        <v>13</v>
      </c>
      <c r="B19" s="127" t="s">
        <v>7</v>
      </c>
      <c r="C19" s="94" t="s">
        <v>413</v>
      </c>
      <c r="D19" s="95"/>
      <c r="E19" s="95" t="s">
        <v>187</v>
      </c>
      <c r="F19" s="95" t="s">
        <v>414</v>
      </c>
      <c r="G19" s="95" t="s">
        <v>415</v>
      </c>
      <c r="H19" s="95" t="s">
        <v>188</v>
      </c>
      <c r="I19" s="95" t="s">
        <v>416</v>
      </c>
      <c r="J19" s="95" t="s">
        <v>152</v>
      </c>
      <c r="K19" s="95" t="s">
        <v>417</v>
      </c>
      <c r="L19" s="95" t="s">
        <v>418</v>
      </c>
      <c r="M19" s="97"/>
      <c r="N19" s="98"/>
      <c r="O19" s="2"/>
      <c r="P19" s="2"/>
      <c r="Q19" s="2"/>
      <c r="R19" s="2"/>
      <c r="S19" s="2"/>
      <c r="T19" s="2"/>
      <c r="U19" s="2"/>
      <c r="V19" s="2"/>
      <c r="W19" s="2"/>
      <c r="X19" s="2"/>
      <c r="Y19" s="2"/>
      <c r="Z19" s="2"/>
      <c r="AA19" s="2"/>
      <c r="AB19" s="2"/>
    </row>
    <row r="20" spans="1:28" ht="110.25" customHeight="1">
      <c r="A20" s="126" t="s">
        <v>13</v>
      </c>
      <c r="B20" s="127" t="s">
        <v>11</v>
      </c>
      <c r="C20" s="94" t="s">
        <v>409</v>
      </c>
      <c r="D20" s="95" t="s">
        <v>352</v>
      </c>
      <c r="E20" s="95" t="s">
        <v>353</v>
      </c>
      <c r="F20" s="95" t="s">
        <v>410</v>
      </c>
      <c r="G20" s="95" t="s">
        <v>354</v>
      </c>
      <c r="H20" s="95" t="s">
        <v>411</v>
      </c>
      <c r="I20" s="95" t="s">
        <v>412</v>
      </c>
      <c r="J20" s="95"/>
      <c r="K20" s="95" t="s">
        <v>189</v>
      </c>
      <c r="L20" s="95" t="s">
        <v>190</v>
      </c>
      <c r="M20" s="97"/>
      <c r="N20" s="98"/>
      <c r="O20" s="2"/>
      <c r="P20" s="2"/>
      <c r="Q20" s="2"/>
      <c r="R20" s="2"/>
      <c r="S20" s="2"/>
      <c r="T20" s="2"/>
      <c r="U20" s="2"/>
      <c r="V20" s="2"/>
      <c r="W20" s="2"/>
      <c r="X20" s="2"/>
      <c r="Y20" s="2"/>
      <c r="Z20" s="2"/>
      <c r="AA20" s="2"/>
      <c r="AB20" s="2"/>
    </row>
    <row r="21" spans="1:28" ht="48" customHeight="1">
      <c r="A21" s="124" t="s">
        <v>153</v>
      </c>
      <c r="B21" s="125" t="s">
        <v>161</v>
      </c>
      <c r="C21" s="104" t="s">
        <v>191</v>
      </c>
      <c r="D21" s="103" t="s">
        <v>192</v>
      </c>
      <c r="E21" s="96" t="s">
        <v>193</v>
      </c>
      <c r="F21" s="96" t="s">
        <v>194</v>
      </c>
      <c r="G21" s="96" t="s">
        <v>195</v>
      </c>
      <c r="H21" s="96" t="s">
        <v>196</v>
      </c>
      <c r="I21" s="96" t="s">
        <v>197</v>
      </c>
      <c r="J21" s="103" t="s">
        <v>198</v>
      </c>
      <c r="K21" s="103" t="s">
        <v>199</v>
      </c>
      <c r="L21" s="103" t="s">
        <v>200</v>
      </c>
      <c r="M21" s="105" t="s">
        <v>201</v>
      </c>
      <c r="N21" s="88"/>
      <c r="O21" s="2"/>
      <c r="P21" s="2"/>
      <c r="Q21" s="2"/>
      <c r="R21" s="2"/>
      <c r="S21" s="2"/>
      <c r="T21" s="2"/>
      <c r="U21" s="2"/>
      <c r="V21" s="2"/>
      <c r="W21" s="2"/>
      <c r="X21" s="2"/>
      <c r="Y21" s="2"/>
      <c r="Z21" s="2"/>
      <c r="AA21" s="2"/>
      <c r="AB21" s="2"/>
    </row>
    <row r="22" spans="1:28" ht="67.5" customHeight="1">
      <c r="A22" s="124" t="s">
        <v>153</v>
      </c>
      <c r="B22" s="125" t="s">
        <v>154</v>
      </c>
      <c r="C22" s="104" t="s">
        <v>394</v>
      </c>
      <c r="D22" s="103" t="s">
        <v>235</v>
      </c>
      <c r="E22" s="96" t="s">
        <v>236</v>
      </c>
      <c r="F22" s="96"/>
      <c r="G22" s="96" t="s">
        <v>237</v>
      </c>
      <c r="H22" s="96" t="s">
        <v>238</v>
      </c>
      <c r="I22" s="96" t="s">
        <v>239</v>
      </c>
      <c r="J22" s="103" t="s">
        <v>240</v>
      </c>
      <c r="K22" s="103" t="s">
        <v>241</v>
      </c>
      <c r="L22" s="103" t="s">
        <v>242</v>
      </c>
      <c r="M22" s="106"/>
      <c r="N22" s="88"/>
      <c r="O22" s="2"/>
      <c r="P22" s="2"/>
      <c r="Q22" s="2"/>
      <c r="R22" s="2"/>
      <c r="S22" s="2"/>
      <c r="T22" s="2"/>
      <c r="U22" s="2"/>
      <c r="V22" s="2"/>
      <c r="W22" s="2"/>
      <c r="X22" s="2"/>
      <c r="Y22" s="2"/>
      <c r="Z22" s="2"/>
      <c r="AA22" s="2"/>
      <c r="AB22" s="2"/>
    </row>
    <row r="23" spans="1:28" ht="134.25">
      <c r="A23" s="124" t="s">
        <v>153</v>
      </c>
      <c r="B23" s="125" t="s">
        <v>155</v>
      </c>
      <c r="C23" s="104" t="s">
        <v>404</v>
      </c>
      <c r="D23" s="103" t="s">
        <v>156</v>
      </c>
      <c r="E23" s="96" t="s">
        <v>202</v>
      </c>
      <c r="F23" s="96" t="s">
        <v>203</v>
      </c>
      <c r="G23" s="96" t="s">
        <v>204</v>
      </c>
      <c r="H23" s="96" t="s">
        <v>405</v>
      </c>
      <c r="I23" s="96" t="s">
        <v>205</v>
      </c>
      <c r="J23" s="103" t="s">
        <v>406</v>
      </c>
      <c r="K23" s="103" t="s">
        <v>407</v>
      </c>
      <c r="L23" s="103" t="s">
        <v>408</v>
      </c>
      <c r="M23" s="105" t="s">
        <v>351</v>
      </c>
      <c r="N23" s="88"/>
      <c r="O23" s="2"/>
      <c r="P23" s="2"/>
      <c r="Q23" s="2"/>
      <c r="R23" s="2"/>
      <c r="S23" s="2"/>
      <c r="T23" s="2"/>
      <c r="U23" s="2"/>
      <c r="V23" s="2"/>
      <c r="W23" s="2"/>
      <c r="X23" s="2"/>
      <c r="Y23" s="2"/>
      <c r="Z23" s="2"/>
      <c r="AA23" s="2"/>
      <c r="AB23" s="2"/>
    </row>
    <row r="24" spans="1:28" ht="108" customHeight="1">
      <c r="A24" s="124" t="s">
        <v>153</v>
      </c>
      <c r="B24" s="125" t="s">
        <v>160</v>
      </c>
      <c r="C24" s="104" t="s">
        <v>395</v>
      </c>
      <c r="D24" s="103" t="s">
        <v>229</v>
      </c>
      <c r="E24" s="96"/>
      <c r="F24" s="96" t="s">
        <v>230</v>
      </c>
      <c r="G24" s="96" t="s">
        <v>396</v>
      </c>
      <c r="H24" s="96" t="s">
        <v>397</v>
      </c>
      <c r="I24" s="96" t="s">
        <v>231</v>
      </c>
      <c r="J24" s="103" t="s">
        <v>232</v>
      </c>
      <c r="K24" s="103" t="s">
        <v>398</v>
      </c>
      <c r="L24" s="103" t="s">
        <v>233</v>
      </c>
      <c r="M24" s="105" t="s">
        <v>234</v>
      </c>
      <c r="N24" s="88"/>
      <c r="O24" s="2"/>
      <c r="P24" s="2"/>
      <c r="Q24" s="2"/>
      <c r="R24" s="2"/>
      <c r="S24" s="2"/>
      <c r="T24" s="2"/>
      <c r="U24" s="2"/>
      <c r="V24" s="2"/>
      <c r="W24" s="2"/>
      <c r="X24" s="2"/>
      <c r="Y24" s="2"/>
      <c r="Z24" s="2"/>
      <c r="AA24" s="2"/>
      <c r="AB24" s="2"/>
    </row>
    <row r="25" spans="1:28" ht="69" customHeight="1">
      <c r="A25" s="124" t="s">
        <v>153</v>
      </c>
      <c r="B25" s="125" t="s">
        <v>157</v>
      </c>
      <c r="C25" s="104" t="s">
        <v>403</v>
      </c>
      <c r="D25" s="103" t="s">
        <v>192</v>
      </c>
      <c r="E25" s="96" t="s">
        <v>206</v>
      </c>
      <c r="F25" s="96" t="s">
        <v>350</v>
      </c>
      <c r="G25" s="96" t="s">
        <v>207</v>
      </c>
      <c r="H25" s="96" t="s">
        <v>208</v>
      </c>
      <c r="I25" s="96" t="s">
        <v>209</v>
      </c>
      <c r="J25" s="103" t="s">
        <v>210</v>
      </c>
      <c r="K25" s="103" t="s">
        <v>211</v>
      </c>
      <c r="L25" s="103" t="s">
        <v>212</v>
      </c>
      <c r="M25" s="105"/>
      <c r="N25" s="88"/>
      <c r="O25" s="2"/>
      <c r="P25" s="2"/>
      <c r="Q25" s="2"/>
      <c r="R25" s="2"/>
      <c r="S25" s="2"/>
      <c r="T25" s="2"/>
      <c r="U25" s="2"/>
      <c r="V25" s="2"/>
      <c r="W25" s="2"/>
      <c r="X25" s="2"/>
      <c r="Y25" s="2"/>
      <c r="Z25" s="2"/>
      <c r="AA25" s="2"/>
      <c r="AB25" s="2"/>
    </row>
    <row r="26" spans="1:28" ht="90.75" customHeight="1">
      <c r="A26" s="124" t="s">
        <v>153</v>
      </c>
      <c r="B26" s="125" t="s">
        <v>159</v>
      </c>
      <c r="C26" s="104" t="s">
        <v>401</v>
      </c>
      <c r="D26" s="103" t="s">
        <v>192</v>
      </c>
      <c r="E26" s="96" t="s">
        <v>223</v>
      </c>
      <c r="F26" s="96" t="s">
        <v>224</v>
      </c>
      <c r="G26" s="96" t="s">
        <v>225</v>
      </c>
      <c r="H26" s="96" t="s">
        <v>400</v>
      </c>
      <c r="I26" s="96"/>
      <c r="J26" s="103" t="s">
        <v>399</v>
      </c>
      <c r="K26" s="103" t="s">
        <v>226</v>
      </c>
      <c r="L26" s="103" t="s">
        <v>227</v>
      </c>
      <c r="M26" s="105" t="s">
        <v>228</v>
      </c>
      <c r="N26" s="88"/>
      <c r="O26" s="2"/>
      <c r="P26" s="2"/>
      <c r="Q26" s="2"/>
      <c r="R26" s="2"/>
      <c r="S26" s="2"/>
      <c r="T26" s="2"/>
      <c r="U26" s="2"/>
      <c r="V26" s="2"/>
      <c r="W26" s="2"/>
      <c r="X26" s="2"/>
      <c r="Y26" s="2"/>
      <c r="Z26" s="2"/>
      <c r="AA26" s="2"/>
      <c r="AB26" s="2"/>
    </row>
    <row r="27" spans="1:28" ht="81.75" customHeight="1">
      <c r="A27" s="124" t="s">
        <v>153</v>
      </c>
      <c r="B27" s="125" t="s">
        <v>158</v>
      </c>
      <c r="C27" s="104" t="s">
        <v>402</v>
      </c>
      <c r="D27" s="103" t="s">
        <v>213</v>
      </c>
      <c r="E27" s="96" t="s">
        <v>214</v>
      </c>
      <c r="F27" s="96" t="s">
        <v>215</v>
      </c>
      <c r="G27" s="96" t="s">
        <v>216</v>
      </c>
      <c r="H27" s="96" t="s">
        <v>217</v>
      </c>
      <c r="I27" s="96" t="s">
        <v>218</v>
      </c>
      <c r="J27" s="103" t="s">
        <v>219</v>
      </c>
      <c r="K27" s="103" t="s">
        <v>220</v>
      </c>
      <c r="L27" s="103" t="s">
        <v>221</v>
      </c>
      <c r="M27" s="105" t="s">
        <v>222</v>
      </c>
      <c r="N27" s="88"/>
      <c r="O27" s="2"/>
      <c r="P27" s="2"/>
      <c r="Q27" s="2"/>
      <c r="R27" s="2"/>
      <c r="S27" s="2"/>
      <c r="T27" s="2"/>
      <c r="U27" s="2"/>
      <c r="V27" s="2"/>
      <c r="W27" s="2"/>
      <c r="X27" s="2"/>
      <c r="Y27" s="2"/>
      <c r="Z27" s="2"/>
      <c r="AA27" s="2"/>
      <c r="AB27" s="2"/>
    </row>
    <row r="28" spans="1:28" ht="276.75">
      <c r="A28" s="126" t="s">
        <v>14</v>
      </c>
      <c r="B28" s="127" t="s">
        <v>7</v>
      </c>
      <c r="C28" s="94" t="s">
        <v>393</v>
      </c>
      <c r="D28" s="95"/>
      <c r="E28" s="95" t="s">
        <v>392</v>
      </c>
      <c r="F28" s="95"/>
      <c r="G28" s="95" t="s">
        <v>391</v>
      </c>
      <c r="H28" s="95" t="s">
        <v>299</v>
      </c>
      <c r="I28" s="95" t="s">
        <v>390</v>
      </c>
      <c r="J28" s="95"/>
      <c r="K28" s="95" t="s">
        <v>389</v>
      </c>
      <c r="L28" s="95" t="s">
        <v>388</v>
      </c>
      <c r="M28" s="97"/>
      <c r="N28" s="98" t="s">
        <v>362</v>
      </c>
      <c r="O28" s="2"/>
      <c r="P28" s="2"/>
      <c r="Q28" s="2"/>
      <c r="R28" s="2"/>
      <c r="S28" s="2"/>
      <c r="T28" s="2"/>
      <c r="U28" s="2"/>
      <c r="V28" s="2"/>
      <c r="W28" s="2"/>
      <c r="X28" s="2"/>
      <c r="Y28" s="2"/>
      <c r="Z28" s="2"/>
      <c r="AA28" s="2"/>
      <c r="AB28" s="2"/>
    </row>
    <row r="29" spans="1:28" ht="100.5">
      <c r="A29" s="126" t="s">
        <v>14</v>
      </c>
      <c r="B29" s="127" t="s">
        <v>1</v>
      </c>
      <c r="C29" s="94" t="s">
        <v>300</v>
      </c>
      <c r="D29" s="95" t="s">
        <v>301</v>
      </c>
      <c r="E29" s="95" t="s">
        <v>302</v>
      </c>
      <c r="F29" s="95"/>
      <c r="G29" s="95" t="s">
        <v>303</v>
      </c>
      <c r="H29" s="95" t="s">
        <v>304</v>
      </c>
      <c r="I29" s="95" t="s">
        <v>305</v>
      </c>
      <c r="J29" s="95"/>
      <c r="K29" s="95" t="s">
        <v>306</v>
      </c>
      <c r="L29" s="95" t="s">
        <v>307</v>
      </c>
      <c r="M29" s="97"/>
      <c r="N29" s="98" t="s">
        <v>349</v>
      </c>
      <c r="O29" s="2"/>
      <c r="P29" s="2"/>
      <c r="Q29" s="2"/>
      <c r="R29" s="2"/>
      <c r="S29" s="2"/>
      <c r="T29" s="2"/>
      <c r="U29" s="2"/>
      <c r="V29" s="2"/>
      <c r="W29" s="2"/>
      <c r="X29" s="2"/>
      <c r="Y29" s="2"/>
      <c r="Z29" s="2"/>
      <c r="AA29" s="2"/>
      <c r="AB29" s="2"/>
    </row>
    <row r="30" spans="1:28" ht="96" customHeight="1">
      <c r="A30" s="126" t="s">
        <v>15</v>
      </c>
      <c r="B30" s="127" t="s">
        <v>16</v>
      </c>
      <c r="C30" s="94" t="s">
        <v>308</v>
      </c>
      <c r="D30" s="95" t="s">
        <v>387</v>
      </c>
      <c r="E30" s="95" t="s">
        <v>309</v>
      </c>
      <c r="F30" s="95" t="s">
        <v>310</v>
      </c>
      <c r="G30" s="95" t="s">
        <v>386</v>
      </c>
      <c r="H30" s="95" t="s">
        <v>311</v>
      </c>
      <c r="I30" s="95" t="s">
        <v>312</v>
      </c>
      <c r="J30" s="95" t="s">
        <v>313</v>
      </c>
      <c r="K30" s="95" t="s">
        <v>385</v>
      </c>
      <c r="L30" s="95" t="s">
        <v>314</v>
      </c>
      <c r="M30" s="97" t="s">
        <v>315</v>
      </c>
      <c r="N30" s="116" t="s">
        <v>316</v>
      </c>
      <c r="O30" s="2"/>
      <c r="P30" s="2"/>
      <c r="Q30" s="2"/>
      <c r="R30" s="2"/>
      <c r="S30" s="2"/>
      <c r="T30" s="2"/>
      <c r="U30" s="2"/>
      <c r="V30" s="2"/>
      <c r="W30" s="2"/>
      <c r="X30" s="2"/>
      <c r="Y30" s="2"/>
      <c r="Z30" s="2"/>
      <c r="AA30" s="2"/>
      <c r="AB30" s="2"/>
    </row>
    <row r="31" spans="1:28" ht="196.5" customHeight="1">
      <c r="A31" s="126" t="s">
        <v>15</v>
      </c>
      <c r="B31" s="127" t="s">
        <v>12</v>
      </c>
      <c r="C31" s="94" t="s">
        <v>317</v>
      </c>
      <c r="D31" s="95" t="s">
        <v>318</v>
      </c>
      <c r="E31" s="95" t="s">
        <v>319</v>
      </c>
      <c r="F31" s="95" t="s">
        <v>320</v>
      </c>
      <c r="G31" s="95" t="s">
        <v>321</v>
      </c>
      <c r="H31" s="95" t="s">
        <v>322</v>
      </c>
      <c r="I31" s="95" t="s">
        <v>323</v>
      </c>
      <c r="J31" s="95" t="s">
        <v>324</v>
      </c>
      <c r="K31" s="95" t="s">
        <v>325</v>
      </c>
      <c r="L31" s="95" t="s">
        <v>326</v>
      </c>
      <c r="M31" s="97" t="s">
        <v>327</v>
      </c>
      <c r="N31" s="98" t="s">
        <v>384</v>
      </c>
      <c r="O31" s="2"/>
      <c r="P31" s="2"/>
      <c r="Q31" s="2"/>
      <c r="R31" s="2"/>
      <c r="S31" s="2"/>
      <c r="T31" s="2"/>
      <c r="U31" s="2"/>
      <c r="V31" s="2"/>
      <c r="W31" s="2"/>
      <c r="X31" s="2"/>
      <c r="Y31" s="2"/>
      <c r="Z31" s="2"/>
      <c r="AA31" s="2"/>
      <c r="AB31" s="2"/>
    </row>
    <row r="32" spans="1:28" ht="76.5" customHeight="1">
      <c r="A32" s="124" t="s">
        <v>17</v>
      </c>
      <c r="B32" s="128" t="s">
        <v>18</v>
      </c>
      <c r="C32" s="94" t="s">
        <v>348</v>
      </c>
      <c r="D32" s="95" t="s">
        <v>328</v>
      </c>
      <c r="E32" s="95"/>
      <c r="F32" s="95" t="s">
        <v>329</v>
      </c>
      <c r="G32" s="95" t="s">
        <v>330</v>
      </c>
      <c r="H32" s="95" t="s">
        <v>331</v>
      </c>
      <c r="I32" s="95" t="s">
        <v>332</v>
      </c>
      <c r="J32" s="95" t="s">
        <v>333</v>
      </c>
      <c r="K32" s="95" t="s">
        <v>334</v>
      </c>
      <c r="L32" s="95"/>
      <c r="M32" s="97" t="s">
        <v>335</v>
      </c>
      <c r="N32" s="98" t="s">
        <v>336</v>
      </c>
      <c r="O32" s="2"/>
      <c r="P32" s="2"/>
      <c r="Q32" s="2"/>
      <c r="R32" s="2"/>
      <c r="S32" s="2"/>
      <c r="T32" s="2"/>
      <c r="U32" s="2"/>
      <c r="V32" s="2"/>
      <c r="W32" s="2"/>
      <c r="X32" s="2"/>
      <c r="Y32" s="2"/>
      <c r="Z32" s="2"/>
      <c r="AA32" s="2"/>
      <c r="AB32" s="2"/>
    </row>
    <row r="33" spans="1:28" ht="75">
      <c r="A33" s="124" t="s">
        <v>17</v>
      </c>
      <c r="B33" s="127" t="s">
        <v>16</v>
      </c>
      <c r="C33" s="94" t="s">
        <v>382</v>
      </c>
      <c r="D33" s="95" t="s">
        <v>337</v>
      </c>
      <c r="E33" s="95" t="s">
        <v>338</v>
      </c>
      <c r="F33" s="95" t="s">
        <v>339</v>
      </c>
      <c r="G33" s="95" t="s">
        <v>340</v>
      </c>
      <c r="H33" s="95"/>
      <c r="I33" s="95" t="s">
        <v>341</v>
      </c>
      <c r="J33" s="95"/>
      <c r="K33" s="95" t="s">
        <v>342</v>
      </c>
      <c r="L33" s="95" t="s">
        <v>343</v>
      </c>
      <c r="M33" s="97" t="s">
        <v>383</v>
      </c>
      <c r="N33" s="98"/>
      <c r="O33" s="2"/>
      <c r="P33" s="2"/>
      <c r="Q33" s="2"/>
      <c r="R33" s="2"/>
      <c r="S33" s="2"/>
      <c r="T33" s="2"/>
      <c r="U33" s="2"/>
      <c r="V33" s="2"/>
      <c r="W33" s="2"/>
      <c r="X33" s="2"/>
      <c r="Y33" s="2"/>
      <c r="Z33" s="2"/>
      <c r="AA33" s="2"/>
      <c r="AB33" s="2"/>
    </row>
    <row r="34" spans="1:28" ht="108.75">
      <c r="A34" s="43" t="s">
        <v>2</v>
      </c>
      <c r="B34" s="52" t="s">
        <v>19</v>
      </c>
      <c r="C34" s="130" t="s">
        <v>379</v>
      </c>
      <c r="D34" s="131" t="s">
        <v>344</v>
      </c>
      <c r="E34" s="90" t="s">
        <v>378</v>
      </c>
      <c r="F34" s="90"/>
      <c r="G34" s="90" t="s">
        <v>380</v>
      </c>
      <c r="H34" s="131" t="s">
        <v>345</v>
      </c>
      <c r="I34" s="131" t="s">
        <v>381</v>
      </c>
      <c r="J34" s="131"/>
      <c r="K34" s="131" t="s">
        <v>346</v>
      </c>
      <c r="L34" s="131" t="s">
        <v>347</v>
      </c>
      <c r="M34" s="113"/>
      <c r="N34" s="51"/>
      <c r="O34" s="2"/>
      <c r="P34" s="2"/>
      <c r="Q34" s="2"/>
      <c r="R34" s="2"/>
      <c r="S34" s="2"/>
      <c r="T34" s="2"/>
      <c r="U34" s="2"/>
      <c r="V34" s="2"/>
      <c r="W34" s="2"/>
      <c r="X34" s="2"/>
      <c r="Y34" s="2"/>
      <c r="Z34" s="2"/>
      <c r="AA34" s="2"/>
      <c r="AB34" s="2"/>
    </row>
    <row r="35" spans="1:28" ht="62.25" customHeight="1">
      <c r="A35" s="124" t="s">
        <v>64</v>
      </c>
      <c r="B35" s="125" t="s">
        <v>5</v>
      </c>
      <c r="C35" s="117"/>
      <c r="D35" s="118"/>
      <c r="E35" s="96" t="s">
        <v>168</v>
      </c>
      <c r="F35" s="95"/>
      <c r="G35" s="112"/>
      <c r="H35" s="96" t="s">
        <v>169</v>
      </c>
      <c r="I35" s="112"/>
      <c r="K35" s="112"/>
      <c r="L35" s="95"/>
      <c r="M35" s="111"/>
      <c r="N35" s="98"/>
      <c r="O35" s="2"/>
      <c r="P35" s="2"/>
      <c r="Q35" s="2"/>
      <c r="R35" s="2"/>
      <c r="S35" s="2"/>
      <c r="T35" s="2"/>
      <c r="U35" s="2"/>
      <c r="V35" s="2"/>
      <c r="W35" s="2"/>
      <c r="X35" s="2"/>
      <c r="Y35" s="2"/>
      <c r="Z35" s="2"/>
      <c r="AA35" s="2"/>
      <c r="AB35" s="2"/>
    </row>
    <row r="36" spans="1:28" ht="47.25" customHeight="1">
      <c r="A36" s="124" t="s">
        <v>64</v>
      </c>
      <c r="B36" s="129" t="s">
        <v>10</v>
      </c>
      <c r="C36" s="99"/>
      <c r="D36" s="100"/>
      <c r="E36" s="96"/>
      <c r="F36" s="96" t="s">
        <v>170</v>
      </c>
      <c r="G36" s="96"/>
      <c r="H36" s="96" t="s">
        <v>171</v>
      </c>
      <c r="I36" s="96"/>
      <c r="J36" s="101"/>
      <c r="K36" s="101"/>
      <c r="L36" s="101"/>
      <c r="M36" s="102"/>
      <c r="N36" s="53"/>
      <c r="O36" s="2"/>
      <c r="P36" s="2"/>
      <c r="Q36" s="2"/>
      <c r="R36" s="2"/>
      <c r="S36" s="2"/>
      <c r="T36" s="2"/>
      <c r="U36" s="2"/>
      <c r="V36" s="2"/>
      <c r="W36" s="2"/>
      <c r="X36" s="2"/>
      <c r="Y36" s="2"/>
      <c r="Z36" s="2"/>
      <c r="AA36" s="2"/>
      <c r="AB36" s="2"/>
    </row>
    <row r="37" spans="1:28" ht="48" customHeight="1">
      <c r="A37" s="124" t="s">
        <v>64</v>
      </c>
      <c r="B37" s="125" t="s">
        <v>21</v>
      </c>
      <c r="C37" s="119"/>
      <c r="D37" s="118"/>
      <c r="E37" s="96" t="s">
        <v>170</v>
      </c>
      <c r="F37" s="96"/>
      <c r="G37" s="120"/>
      <c r="H37" s="120"/>
      <c r="I37" s="120"/>
      <c r="J37" s="101"/>
      <c r="K37" s="121"/>
      <c r="L37" s="103" t="s">
        <v>171</v>
      </c>
      <c r="M37" s="122"/>
      <c r="N37" s="53"/>
      <c r="O37" s="2"/>
      <c r="P37" s="2"/>
      <c r="Q37" s="2"/>
      <c r="R37" s="2"/>
      <c r="S37" s="2"/>
      <c r="T37" s="2"/>
      <c r="U37" s="2"/>
      <c r="V37" s="2"/>
      <c r="W37" s="2"/>
      <c r="X37" s="2"/>
      <c r="Y37" s="2"/>
      <c r="Z37" s="2"/>
      <c r="AA37" s="2"/>
      <c r="AB37" s="2"/>
    </row>
    <row r="38" spans="1:28" ht="48" customHeight="1">
      <c r="A38" s="124" t="s">
        <v>64</v>
      </c>
      <c r="B38" s="129" t="s">
        <v>23</v>
      </c>
      <c r="C38" s="119"/>
      <c r="D38" s="118"/>
      <c r="E38" s="96" t="s">
        <v>170</v>
      </c>
      <c r="F38" s="96"/>
      <c r="G38" s="120"/>
      <c r="H38" s="120"/>
      <c r="I38" s="120"/>
      <c r="J38" s="123"/>
      <c r="K38" s="121"/>
      <c r="L38" s="103" t="s">
        <v>171</v>
      </c>
      <c r="M38" s="122"/>
      <c r="N38" s="53"/>
      <c r="O38" s="2"/>
      <c r="P38" s="2"/>
      <c r="Q38" s="2"/>
      <c r="R38" s="2"/>
      <c r="S38" s="2"/>
      <c r="T38" s="2"/>
      <c r="U38" s="2"/>
      <c r="V38" s="2"/>
      <c r="W38" s="2"/>
      <c r="X38" s="2"/>
      <c r="Y38" s="2"/>
      <c r="Z38" s="2"/>
      <c r="AA38" s="2"/>
      <c r="AB38" s="2"/>
    </row>
  </sheetData>
  <sheetProtection/>
  <printOptions gridLines="1"/>
  <pageMargins left="0.7086614173228347" right="0.7086614173228347" top="0.7480314960629921" bottom="0.7480314960629921" header="0.31496062992125984" footer="0.31496062992125984"/>
  <pageSetup fitToHeight="0" horizontalDpi="600" verticalDpi="600" orientation="landscape" paperSize="8" r:id="rId1"/>
  <headerFooter>
    <oddFooter>&amp;R5年生_ &amp;P　/ &amp;N</oddFooter>
  </headerFooter>
</worksheet>
</file>

<file path=xl/worksheets/sheet3.xml><?xml version="1.0" encoding="utf-8"?>
<worksheet xmlns="http://schemas.openxmlformats.org/spreadsheetml/2006/main" xmlns:r="http://schemas.openxmlformats.org/officeDocument/2006/relationships">
  <dimension ref="A1:K24"/>
  <sheetViews>
    <sheetView zoomScale="170" zoomScaleNormal="170" zoomScalePageLayoutView="0" workbookViewId="0" topLeftCell="A1">
      <selection activeCell="A1" sqref="A1"/>
    </sheetView>
  </sheetViews>
  <sheetFormatPr defaultColWidth="9.00390625" defaultRowHeight="15"/>
  <cols>
    <col min="1" max="1" width="23.00390625" style="54" bestFit="1" customWidth="1"/>
    <col min="2" max="11" width="11.7109375" style="54" customWidth="1"/>
    <col min="12" max="16384" width="9.00390625" style="54" customWidth="1"/>
  </cols>
  <sheetData>
    <row r="1" ht="9">
      <c r="A1" s="1" t="s">
        <v>94</v>
      </c>
    </row>
    <row r="2" spans="1:11" ht="9">
      <c r="A2" s="1" t="s">
        <v>95</v>
      </c>
      <c r="B2" s="55"/>
      <c r="C2" s="55"/>
      <c r="D2" s="55"/>
      <c r="E2" s="55"/>
      <c r="F2" s="55"/>
      <c r="G2" s="55"/>
      <c r="H2" s="55"/>
      <c r="I2" s="55"/>
      <c r="J2" s="55"/>
      <c r="K2" s="55"/>
    </row>
    <row r="3" spans="1:11" ht="9">
      <c r="A3" s="55" t="s">
        <v>96</v>
      </c>
      <c r="B3" s="55"/>
      <c r="C3" s="55"/>
      <c r="D3" s="55"/>
      <c r="E3" s="55"/>
      <c r="F3" s="55"/>
      <c r="G3" s="55"/>
      <c r="H3" s="55"/>
      <c r="I3" s="55"/>
      <c r="J3" s="55"/>
      <c r="K3" s="55"/>
    </row>
    <row r="4" spans="1:11" ht="9">
      <c r="A4" s="55" t="s">
        <v>97</v>
      </c>
      <c r="B4" s="55"/>
      <c r="C4" s="55"/>
      <c r="D4" s="55"/>
      <c r="E4" s="55"/>
      <c r="F4" s="55"/>
      <c r="G4" s="55"/>
      <c r="H4" s="55"/>
      <c r="I4" s="55"/>
      <c r="J4" s="55"/>
      <c r="K4" s="55"/>
    </row>
    <row r="5" spans="1:11" ht="9">
      <c r="A5" s="1" t="s">
        <v>98</v>
      </c>
      <c r="B5" s="55"/>
      <c r="C5" s="55"/>
      <c r="D5" s="55"/>
      <c r="E5" s="55"/>
      <c r="F5" s="55"/>
      <c r="G5" s="55"/>
      <c r="H5" s="55"/>
      <c r="I5" s="55"/>
      <c r="J5" s="55"/>
      <c r="K5" s="55"/>
    </row>
    <row r="6" spans="1:11" ht="9">
      <c r="A6" s="1" t="s">
        <v>99</v>
      </c>
      <c r="B6" s="55"/>
      <c r="C6" s="55"/>
      <c r="D6" s="55"/>
      <c r="E6" s="55"/>
      <c r="F6" s="55"/>
      <c r="G6" s="55"/>
      <c r="H6" s="55"/>
      <c r="I6" s="55"/>
      <c r="J6" s="55"/>
      <c r="K6" s="55"/>
    </row>
    <row r="7" spans="1:11" ht="9">
      <c r="A7" s="1" t="s">
        <v>100</v>
      </c>
      <c r="B7" s="55"/>
      <c r="C7" s="55"/>
      <c r="D7" s="55"/>
      <c r="E7" s="55"/>
      <c r="F7" s="55"/>
      <c r="G7" s="55"/>
      <c r="H7" s="55"/>
      <c r="I7" s="55"/>
      <c r="J7" s="55"/>
      <c r="K7" s="55"/>
    </row>
    <row r="8" spans="1:11" ht="9">
      <c r="A8" s="57" t="s">
        <v>101</v>
      </c>
      <c r="B8" s="55"/>
      <c r="C8" s="55"/>
      <c r="D8" s="55"/>
      <c r="E8" s="55"/>
      <c r="F8" s="55"/>
      <c r="G8" s="55"/>
      <c r="H8" s="55"/>
      <c r="I8" s="55"/>
      <c r="J8" s="55"/>
      <c r="K8" s="55"/>
    </row>
    <row r="9" spans="1:11" ht="9">
      <c r="A9" s="1" t="s">
        <v>102</v>
      </c>
      <c r="B9" s="55"/>
      <c r="C9" s="55"/>
      <c r="D9" s="55"/>
      <c r="E9" s="55"/>
      <c r="F9" s="55"/>
      <c r="G9" s="55"/>
      <c r="H9" s="55"/>
      <c r="I9" s="55"/>
      <c r="J9" s="55"/>
      <c r="K9" s="55"/>
    </row>
    <row r="10" spans="1:11" ht="9">
      <c r="A10" s="1" t="s">
        <v>103</v>
      </c>
      <c r="B10" s="55"/>
      <c r="C10" s="55"/>
      <c r="D10" s="55"/>
      <c r="E10" s="55"/>
      <c r="F10" s="55"/>
      <c r="G10" s="55"/>
      <c r="H10" s="55"/>
      <c r="I10" s="55"/>
      <c r="J10" s="55"/>
      <c r="K10" s="55"/>
    </row>
    <row r="11" spans="1:11" ht="9">
      <c r="A11" s="57" t="s">
        <v>104</v>
      </c>
      <c r="B11" s="55"/>
      <c r="C11" s="55"/>
      <c r="D11" s="55"/>
      <c r="E11" s="55"/>
      <c r="F11" s="55"/>
      <c r="G11" s="55"/>
      <c r="H11" s="55"/>
      <c r="I11" s="55"/>
      <c r="J11" s="55"/>
      <c r="K11" s="55"/>
    </row>
    <row r="12" spans="1:11" ht="9">
      <c r="A12" s="57" t="s">
        <v>105</v>
      </c>
      <c r="B12" s="55"/>
      <c r="C12" s="55"/>
      <c r="D12" s="55"/>
      <c r="E12" s="55"/>
      <c r="F12" s="55"/>
      <c r="G12" s="55"/>
      <c r="H12" s="55"/>
      <c r="I12" s="55"/>
      <c r="J12" s="55"/>
      <c r="K12" s="55"/>
    </row>
    <row r="13" spans="1:11" ht="9">
      <c r="A13" s="57" t="s">
        <v>106</v>
      </c>
      <c r="B13" s="55"/>
      <c r="C13" s="55"/>
      <c r="D13" s="55"/>
      <c r="E13" s="55"/>
      <c r="F13" s="55"/>
      <c r="G13" s="55"/>
      <c r="H13" s="55"/>
      <c r="I13" s="55"/>
      <c r="J13" s="55"/>
      <c r="K13" s="55"/>
    </row>
    <row r="14" spans="1:11" ht="9">
      <c r="A14" s="57" t="s">
        <v>107</v>
      </c>
      <c r="B14" s="55"/>
      <c r="C14" s="55"/>
      <c r="D14" s="55"/>
      <c r="E14" s="55"/>
      <c r="F14" s="55"/>
      <c r="G14" s="55"/>
      <c r="H14" s="55"/>
      <c r="I14" s="55"/>
      <c r="J14" s="55"/>
      <c r="K14" s="55"/>
    </row>
    <row r="15" spans="1:11" ht="9">
      <c r="A15" s="57" t="s">
        <v>108</v>
      </c>
      <c r="B15" s="55"/>
      <c r="C15" s="55"/>
      <c r="D15" s="55"/>
      <c r="E15" s="55"/>
      <c r="F15" s="55"/>
      <c r="G15" s="55"/>
      <c r="H15" s="55"/>
      <c r="I15" s="55"/>
      <c r="J15" s="55"/>
      <c r="K15" s="55"/>
    </row>
    <row r="16" spans="1:11" ht="9">
      <c r="A16" s="57" t="s">
        <v>109</v>
      </c>
      <c r="B16" s="55"/>
      <c r="C16" s="55"/>
      <c r="D16" s="55"/>
      <c r="E16" s="55"/>
      <c r="F16" s="55"/>
      <c r="G16" s="55"/>
      <c r="H16" s="55"/>
      <c r="I16" s="55"/>
      <c r="J16" s="55"/>
      <c r="K16" s="55"/>
    </row>
    <row r="17" spans="1:11" ht="9">
      <c r="A17" s="57" t="s">
        <v>110</v>
      </c>
      <c r="B17" s="55"/>
      <c r="C17" s="55"/>
      <c r="D17" s="55"/>
      <c r="E17" s="55"/>
      <c r="F17" s="55"/>
      <c r="G17" s="55"/>
      <c r="H17" s="55"/>
      <c r="I17" s="55"/>
      <c r="J17" s="55"/>
      <c r="K17" s="55"/>
    </row>
    <row r="18" spans="1:11" ht="9">
      <c r="A18" s="57" t="s">
        <v>111</v>
      </c>
      <c r="B18" s="55"/>
      <c r="C18" s="55"/>
      <c r="D18" s="55"/>
      <c r="E18" s="55"/>
      <c r="F18" s="55"/>
      <c r="G18" s="55"/>
      <c r="H18" s="55"/>
      <c r="I18" s="55"/>
      <c r="J18" s="55"/>
      <c r="K18" s="55"/>
    </row>
    <row r="19" spans="1:11" ht="9">
      <c r="A19" s="57" t="s">
        <v>112</v>
      </c>
      <c r="B19" s="55"/>
      <c r="C19" s="55"/>
      <c r="D19" s="55"/>
      <c r="E19" s="55"/>
      <c r="F19" s="55"/>
      <c r="G19" s="55"/>
      <c r="H19" s="55"/>
      <c r="I19" s="55"/>
      <c r="J19" s="55"/>
      <c r="K19" s="55"/>
    </row>
    <row r="20" spans="1:11" ht="9">
      <c r="A20" s="57" t="s">
        <v>113</v>
      </c>
      <c r="B20" s="55"/>
      <c r="C20" s="55"/>
      <c r="D20" s="55"/>
      <c r="E20" s="55"/>
      <c r="F20" s="55"/>
      <c r="G20" s="55"/>
      <c r="H20" s="55"/>
      <c r="I20" s="55"/>
      <c r="J20" s="55"/>
      <c r="K20" s="55"/>
    </row>
    <row r="21" spans="1:11" ht="9">
      <c r="A21" s="57" t="s">
        <v>114</v>
      </c>
      <c r="B21" s="55"/>
      <c r="C21" s="55"/>
      <c r="D21" s="55"/>
      <c r="E21" s="55"/>
      <c r="F21" s="55"/>
      <c r="G21" s="55"/>
      <c r="H21" s="55"/>
      <c r="I21" s="55"/>
      <c r="J21" s="55"/>
      <c r="K21" s="55"/>
    </row>
    <row r="22" spans="1:11" ht="9">
      <c r="A22" s="57" t="s">
        <v>115</v>
      </c>
      <c r="B22" s="55"/>
      <c r="C22" s="55"/>
      <c r="D22" s="55"/>
      <c r="E22" s="55"/>
      <c r="F22" s="55"/>
      <c r="G22" s="55"/>
      <c r="H22" s="55"/>
      <c r="I22" s="55"/>
      <c r="J22" s="55"/>
      <c r="K22" s="55"/>
    </row>
    <row r="23" spans="1:11" ht="9">
      <c r="A23" s="56"/>
      <c r="B23" s="55"/>
      <c r="C23" s="55"/>
      <c r="D23" s="55"/>
      <c r="E23" s="55"/>
      <c r="F23" s="55"/>
      <c r="G23" s="55"/>
      <c r="H23" s="55"/>
      <c r="I23" s="55"/>
      <c r="J23" s="55"/>
      <c r="K23" s="55"/>
    </row>
    <row r="24" spans="2:11" ht="9">
      <c r="B24" s="55"/>
      <c r="C24" s="55"/>
      <c r="D24" s="55"/>
      <c r="E24" s="55"/>
      <c r="F24" s="55"/>
      <c r="G24" s="55"/>
      <c r="H24" s="55"/>
      <c r="I24" s="55"/>
      <c r="J24" s="55"/>
      <c r="K24" s="5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140625" defaultRowHeight="15"/>
  <cols>
    <col min="1" max="10" width="14.00390625" style="0" customWidth="1"/>
  </cols>
  <sheetData>
    <row r="1" ht="12.75">
      <c r="A1" s="132" t="s">
        <v>117</v>
      </c>
    </row>
    <row r="3" spans="1:10" ht="12.75">
      <c r="A3" s="77" t="s">
        <v>118</v>
      </c>
      <c r="B3" s="77"/>
      <c r="C3" s="77"/>
      <c r="D3" s="77"/>
      <c r="E3" s="77"/>
      <c r="G3" s="77"/>
      <c r="H3" s="77"/>
      <c r="I3" s="77"/>
      <c r="J3" s="77"/>
    </row>
    <row r="4" spans="1:10" ht="12.75">
      <c r="A4" s="77" t="s">
        <v>119</v>
      </c>
      <c r="B4" s="77"/>
      <c r="C4" s="77"/>
      <c r="D4" s="77"/>
      <c r="E4" s="77"/>
      <c r="G4" s="77"/>
      <c r="H4" s="77"/>
      <c r="I4" s="77"/>
      <c r="J4" s="77"/>
    </row>
    <row r="5" spans="1:10" ht="12.75">
      <c r="A5" s="77" t="s">
        <v>120</v>
      </c>
      <c r="B5" s="77"/>
      <c r="C5" s="77"/>
      <c r="D5" s="77"/>
      <c r="E5" s="77"/>
      <c r="G5" s="77"/>
      <c r="H5" s="77"/>
      <c r="I5" s="77"/>
      <c r="J5" s="77"/>
    </row>
    <row r="6" spans="1:10" ht="12.75">
      <c r="A6" s="77"/>
      <c r="B6" s="77"/>
      <c r="C6" s="77"/>
      <c r="D6" s="77"/>
      <c r="E6" s="77"/>
      <c r="G6" s="77"/>
      <c r="H6" s="77"/>
      <c r="I6" s="77"/>
      <c r="J6" s="77"/>
    </row>
    <row r="7" spans="1:10" ht="12.75">
      <c r="A7" s="77" t="s">
        <v>121</v>
      </c>
      <c r="B7" s="77"/>
      <c r="C7" s="77"/>
      <c r="D7" s="77"/>
      <c r="E7" s="77"/>
      <c r="G7" s="77"/>
      <c r="H7" s="77"/>
      <c r="I7" s="77"/>
      <c r="J7" s="77"/>
    </row>
    <row r="8" spans="1:10" ht="12.75">
      <c r="A8" s="77" t="s">
        <v>122</v>
      </c>
      <c r="B8" s="77"/>
      <c r="C8" s="77"/>
      <c r="D8" s="77"/>
      <c r="E8" s="77"/>
      <c r="G8" s="77"/>
      <c r="H8" s="77"/>
      <c r="I8" s="77"/>
      <c r="J8" s="77"/>
    </row>
    <row r="9" spans="1:10" ht="12.75">
      <c r="A9" s="77" t="s">
        <v>123</v>
      </c>
      <c r="B9" s="77"/>
      <c r="C9" s="77"/>
      <c r="D9" s="77"/>
      <c r="E9" s="77"/>
      <c r="G9" s="77"/>
      <c r="H9" s="77"/>
      <c r="I9" s="77"/>
      <c r="J9" s="77"/>
    </row>
    <row r="10" spans="1:10" ht="12.75">
      <c r="A10" s="77"/>
      <c r="B10" s="77"/>
      <c r="C10" s="77"/>
      <c r="D10" s="77"/>
      <c r="E10" s="77"/>
      <c r="G10" s="77"/>
      <c r="H10" s="77"/>
      <c r="I10" s="77"/>
      <c r="J10" s="77"/>
    </row>
    <row r="11" spans="1:10" ht="12.75">
      <c r="A11" s="78" t="s">
        <v>124</v>
      </c>
      <c r="B11" s="79" t="s">
        <v>125</v>
      </c>
      <c r="C11" s="78" t="s">
        <v>126</v>
      </c>
      <c r="D11" s="78" t="s">
        <v>127</v>
      </c>
      <c r="E11" s="80" t="s">
        <v>128</v>
      </c>
      <c r="F11" s="78" t="s">
        <v>164</v>
      </c>
      <c r="G11" s="78" t="s">
        <v>129</v>
      </c>
      <c r="H11" s="79" t="s">
        <v>130</v>
      </c>
      <c r="I11" s="78" t="s">
        <v>131</v>
      </c>
      <c r="J11" s="78" t="s">
        <v>132</v>
      </c>
    </row>
    <row r="12" spans="1:10" ht="12.75">
      <c r="A12" s="81" t="s">
        <v>133</v>
      </c>
      <c r="B12" s="82" t="s">
        <v>134</v>
      </c>
      <c r="C12" s="81" t="s">
        <v>135</v>
      </c>
      <c r="D12" s="81" t="s">
        <v>135</v>
      </c>
      <c r="E12" s="83" t="s">
        <v>135</v>
      </c>
      <c r="F12" s="81" t="s">
        <v>135</v>
      </c>
      <c r="G12" s="81" t="s">
        <v>136</v>
      </c>
      <c r="H12" s="82" t="s">
        <v>137</v>
      </c>
      <c r="I12" s="81" t="s">
        <v>135</v>
      </c>
      <c r="J12" s="81" t="s">
        <v>134</v>
      </c>
    </row>
    <row r="13" spans="1:10" ht="12.75">
      <c r="A13" s="81" t="s">
        <v>138</v>
      </c>
      <c r="B13" s="82" t="s">
        <v>136</v>
      </c>
      <c r="C13" s="81" t="s">
        <v>139</v>
      </c>
      <c r="D13" s="81" t="s">
        <v>139</v>
      </c>
      <c r="E13" s="83" t="s">
        <v>139</v>
      </c>
      <c r="F13" s="81" t="s">
        <v>167</v>
      </c>
      <c r="G13" s="84" t="s">
        <v>140</v>
      </c>
      <c r="H13" s="85" t="s">
        <v>141</v>
      </c>
      <c r="I13" s="84" t="s">
        <v>137</v>
      </c>
      <c r="J13" s="81" t="s">
        <v>139</v>
      </c>
    </row>
    <row r="14" spans="1:10" ht="12.75">
      <c r="A14" s="81" t="s">
        <v>136</v>
      </c>
      <c r="B14" s="85" t="s">
        <v>144</v>
      </c>
      <c r="C14" s="81" t="s">
        <v>138</v>
      </c>
      <c r="D14" s="81" t="s">
        <v>138</v>
      </c>
      <c r="E14" s="83" t="s">
        <v>138</v>
      </c>
      <c r="F14" s="81" t="s">
        <v>138</v>
      </c>
      <c r="G14" s="86"/>
      <c r="H14" s="86"/>
      <c r="I14" s="86"/>
      <c r="J14" s="81" t="s">
        <v>143</v>
      </c>
    </row>
    <row r="15" spans="1:10" ht="12.75">
      <c r="A15" s="84" t="s">
        <v>142</v>
      </c>
      <c r="B15" s="86"/>
      <c r="C15" s="81" t="s">
        <v>136</v>
      </c>
      <c r="D15" s="81" t="s">
        <v>136</v>
      </c>
      <c r="E15" s="83" t="s">
        <v>136</v>
      </c>
      <c r="F15" s="81" t="s">
        <v>166</v>
      </c>
      <c r="G15" s="86"/>
      <c r="H15" s="86"/>
      <c r="I15" s="86"/>
      <c r="J15" s="84" t="s">
        <v>145</v>
      </c>
    </row>
    <row r="16" spans="1:10" ht="12.75">
      <c r="A16" s="86"/>
      <c r="B16" s="86"/>
      <c r="C16" s="81" t="s">
        <v>146</v>
      </c>
      <c r="D16" s="81" t="s">
        <v>142</v>
      </c>
      <c r="E16" s="87" t="s">
        <v>146</v>
      </c>
      <c r="F16" s="81" t="s">
        <v>136</v>
      </c>
      <c r="G16" s="86"/>
      <c r="H16" s="86"/>
      <c r="I16" s="86"/>
      <c r="J16" s="86"/>
    </row>
    <row r="17" spans="1:10" ht="12.75">
      <c r="A17" s="86"/>
      <c r="B17" s="86"/>
      <c r="C17" s="84" t="s">
        <v>144</v>
      </c>
      <c r="D17" s="81" t="s">
        <v>146</v>
      </c>
      <c r="E17" s="86"/>
      <c r="F17" s="81" t="s">
        <v>165</v>
      </c>
      <c r="G17" s="86"/>
      <c r="H17" s="86"/>
      <c r="I17" s="86"/>
      <c r="J17" s="86"/>
    </row>
    <row r="18" spans="1:10" ht="12.75">
      <c r="A18" s="77"/>
      <c r="B18" s="77"/>
      <c r="C18" s="86"/>
      <c r="D18" s="84" t="s">
        <v>141</v>
      </c>
      <c r="E18" s="86"/>
      <c r="F18" s="84" t="s">
        <v>146</v>
      </c>
      <c r="G18" s="86"/>
      <c r="H18" s="86"/>
      <c r="I18" s="86"/>
      <c r="J18" s="86"/>
    </row>
    <row r="19" spans="1:10" ht="12.75">
      <c r="A19" s="77"/>
      <c r="B19" s="77"/>
      <c r="C19" s="77"/>
      <c r="D19" s="77"/>
      <c r="E19" s="77"/>
      <c r="G19" s="77"/>
      <c r="H19" s="77"/>
      <c r="I19" s="77"/>
      <c r="J19" s="77"/>
    </row>
    <row r="20" spans="1:10" ht="12.75">
      <c r="A20" s="77"/>
      <c r="B20" s="77"/>
      <c r="C20" s="77"/>
      <c r="D20" s="77"/>
      <c r="E20" s="77"/>
      <c r="G20" s="77"/>
      <c r="H20" s="77"/>
      <c r="I20" s="77"/>
      <c r="J20" s="77"/>
    </row>
    <row r="21" spans="1:10" ht="12.75">
      <c r="A21" s="77"/>
      <c r="B21" s="77"/>
      <c r="C21" s="77"/>
      <c r="D21" s="77"/>
      <c r="E21" s="77"/>
      <c r="G21" s="77"/>
      <c r="H21" s="77"/>
      <c r="I21" s="77"/>
      <c r="J21" s="77"/>
    </row>
    <row r="22" spans="1:10" ht="12.75">
      <c r="A22" s="77"/>
      <c r="B22" s="77"/>
      <c r="C22" s="77"/>
      <c r="D22" s="77"/>
      <c r="E22" s="77"/>
      <c r="G22" s="77"/>
      <c r="H22" s="77"/>
      <c r="I22" s="77"/>
      <c r="J22" s="77"/>
    </row>
    <row r="23" spans="1:10" ht="12.75">
      <c r="A23" s="77"/>
      <c r="B23" s="77"/>
      <c r="C23" s="77"/>
      <c r="D23" s="77"/>
      <c r="E23" s="77"/>
      <c r="G23" s="77"/>
      <c r="H23" s="77"/>
      <c r="I23" s="77"/>
      <c r="J23" s="77"/>
    </row>
    <row r="24" spans="1:10" ht="12.75">
      <c r="A24" s="77"/>
      <c r="B24" s="77"/>
      <c r="C24" s="77"/>
      <c r="D24" s="77"/>
      <c r="E24" s="77"/>
      <c r="G24" s="77"/>
      <c r="H24" s="77"/>
      <c r="I24" s="77"/>
      <c r="J24" s="77"/>
    </row>
    <row r="25" spans="1:10" ht="12.75">
      <c r="A25" s="77"/>
      <c r="B25" s="77"/>
      <c r="C25" s="77"/>
      <c r="D25" s="77"/>
      <c r="E25" s="77"/>
      <c r="G25" s="77"/>
      <c r="H25" s="77"/>
      <c r="I25" s="77"/>
      <c r="J25" s="77"/>
    </row>
    <row r="26" spans="1:10" ht="12.75">
      <c r="A26" s="77"/>
      <c r="B26" s="77"/>
      <c r="C26" s="77"/>
      <c r="D26" s="77"/>
      <c r="E26" s="77"/>
      <c r="G26" s="77"/>
      <c r="H26" s="77"/>
      <c r="I26" s="77"/>
      <c r="J26" s="77"/>
    </row>
    <row r="27" spans="1:10" ht="12.75">
      <c r="A27" s="77"/>
      <c r="B27" s="77"/>
      <c r="C27" s="77"/>
      <c r="D27" s="77"/>
      <c r="E27" s="77"/>
      <c r="G27" s="77"/>
      <c r="H27" s="77"/>
      <c r="I27" s="77"/>
      <c r="J27" s="77"/>
    </row>
    <row r="28" spans="1:10" ht="12.75">
      <c r="A28" s="77"/>
      <c r="B28" s="77"/>
      <c r="C28" s="77"/>
      <c r="D28" s="77"/>
      <c r="E28" s="77"/>
      <c r="G28" s="77"/>
      <c r="H28" s="77"/>
      <c r="I28" s="77"/>
      <c r="J28" s="77"/>
    </row>
    <row r="29" spans="1:10" ht="12.75">
      <c r="A29" s="77"/>
      <c r="B29" s="77"/>
      <c r="C29" s="77"/>
      <c r="D29" s="77"/>
      <c r="E29" s="77"/>
      <c r="G29" s="77"/>
      <c r="H29" s="77"/>
      <c r="I29" s="77"/>
      <c r="J29" s="77"/>
    </row>
    <row r="30" spans="1:10" ht="12.75">
      <c r="A30" s="77"/>
      <c r="B30" s="77"/>
      <c r="C30" s="77"/>
      <c r="D30" s="77"/>
      <c r="E30" s="77"/>
      <c r="G30" s="77"/>
      <c r="H30" s="77"/>
      <c r="I30" s="77"/>
      <c r="J30" s="77"/>
    </row>
    <row r="31" spans="1:10" ht="12.75">
      <c r="A31" s="77"/>
      <c r="B31" s="77"/>
      <c r="C31" s="77"/>
      <c r="D31" s="77"/>
      <c r="E31" s="77"/>
      <c r="G31" s="77"/>
      <c r="H31" s="77"/>
      <c r="I31" s="77"/>
      <c r="J31" s="77"/>
    </row>
    <row r="32" spans="1:10" ht="12.75">
      <c r="A32" s="77"/>
      <c r="B32" s="77"/>
      <c r="C32" s="77"/>
      <c r="D32" s="77"/>
      <c r="E32" s="77"/>
      <c r="G32" s="77"/>
      <c r="H32" s="77"/>
      <c r="I32" s="77"/>
      <c r="J32" s="77"/>
    </row>
    <row r="33" spans="1:10" ht="12.75">
      <c r="A33" s="77"/>
      <c r="B33" s="77"/>
      <c r="C33" s="77"/>
      <c r="D33" s="77"/>
      <c r="E33" s="77"/>
      <c r="G33" s="77"/>
      <c r="H33" s="77"/>
      <c r="I33" s="77"/>
      <c r="J33" s="77"/>
    </row>
    <row r="34" spans="1:10" ht="12.75">
      <c r="A34" s="77"/>
      <c r="B34" s="77"/>
      <c r="C34" s="77"/>
      <c r="D34" s="77"/>
      <c r="E34" s="77"/>
      <c r="G34" s="77"/>
      <c r="H34" s="77"/>
      <c r="I34" s="77"/>
      <c r="J34" s="77"/>
    </row>
    <row r="35" spans="1:10" ht="12.75">
      <c r="A35" s="77"/>
      <c r="B35" s="77"/>
      <c r="C35" s="77"/>
      <c r="D35" s="77"/>
      <c r="E35" s="77"/>
      <c r="G35" s="77"/>
      <c r="H35" s="77"/>
      <c r="I35" s="77"/>
      <c r="J35" s="77"/>
    </row>
    <row r="36" spans="1:10" ht="12.75">
      <c r="A36" s="77"/>
      <c r="B36" s="77"/>
      <c r="C36" s="77"/>
      <c r="D36" s="77"/>
      <c r="E36" s="77"/>
      <c r="G36" s="77"/>
      <c r="H36" s="77"/>
      <c r="I36" s="77"/>
      <c r="J36" s="77"/>
    </row>
    <row r="37" spans="1:10" ht="12.75">
      <c r="A37" s="77"/>
      <c r="B37" s="77"/>
      <c r="C37" s="77"/>
      <c r="D37" s="77"/>
      <c r="E37" s="77"/>
      <c r="G37" s="77"/>
      <c r="H37" s="77"/>
      <c r="I37" s="77"/>
      <c r="J37" s="77"/>
    </row>
    <row r="38" spans="1:10" ht="12.75">
      <c r="A38" s="77"/>
      <c r="B38" s="77"/>
      <c r="C38" s="77"/>
      <c r="D38" s="77"/>
      <c r="E38" s="77"/>
      <c r="G38" s="77"/>
      <c r="H38" s="77"/>
      <c r="I38" s="77"/>
      <c r="J38" s="77"/>
    </row>
    <row r="39" spans="1:10" ht="12.75">
      <c r="A39" s="77"/>
      <c r="B39" s="77"/>
      <c r="C39" s="77"/>
      <c r="D39" s="77"/>
      <c r="E39" s="77"/>
      <c r="G39" s="77"/>
      <c r="H39" s="77"/>
      <c r="I39" s="77"/>
      <c r="J39" s="77"/>
    </row>
    <row r="40" spans="1:10" ht="12.75">
      <c r="A40" s="77"/>
      <c r="B40" s="77"/>
      <c r="C40" s="77"/>
      <c r="D40" s="77"/>
      <c r="E40" s="77"/>
      <c r="G40" s="77"/>
      <c r="H40" s="77"/>
      <c r="I40" s="77"/>
      <c r="J40" s="77"/>
    </row>
    <row r="41" spans="1:10" ht="12.75">
      <c r="A41" s="77"/>
      <c r="B41" s="77"/>
      <c r="C41" s="77"/>
      <c r="D41" s="77"/>
      <c r="E41" s="77"/>
      <c r="G41" s="77"/>
      <c r="H41" s="77"/>
      <c r="I41" s="77"/>
      <c r="J41" s="77"/>
    </row>
    <row r="42" spans="3:10" ht="12.75">
      <c r="C42" s="77"/>
      <c r="D42" s="77"/>
      <c r="E42" s="77"/>
      <c r="G42" s="77"/>
      <c r="H42" s="77"/>
      <c r="I42" s="77"/>
      <c r="J42" s="77"/>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2019-06-25T11:55:25Z</cp:lastPrinted>
  <dcterms:created xsi:type="dcterms:W3CDTF">2012-09-21T00:30:40Z</dcterms:created>
  <dcterms:modified xsi:type="dcterms:W3CDTF">2019-11-29T01:23:20Z</dcterms:modified>
  <cp:category/>
  <cp:version/>
  <cp:contentType/>
  <cp:contentStatus/>
</cp:coreProperties>
</file>