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232" activeTab="0"/>
  </bookViews>
  <sheets>
    <sheet name="【内容項目別】全体計画例別葉6年" sheetId="1" r:id="rId1"/>
    <sheet name="【内容項目別】発行者別一覧6年" sheetId="2" r:id="rId2"/>
    <sheet name="ご利用の留意点" sheetId="3" r:id="rId3"/>
  </sheets>
  <definedNames>
    <definedName name="_xlnm.Print_Area" localSheetId="0">'【内容項目別】全体計画例別葉6年'!$A$1:$P$31</definedName>
    <definedName name="_xlnm.Print_Titles" localSheetId="0">'【内容項目別】全体計画例別葉6年'!$7:$9</definedName>
    <definedName name="_xlnm.Print_Titles" localSheetId="1">'【内容項目別】発行者別一覧6年'!$A:$A,'【内容項目別】発行者別一覧6年'!$7:$9</definedName>
    <definedName name="音楽">'【内容項目別】発行者別一覧6年'!$V$9:$W$31</definedName>
    <definedName name="家庭">'【内容項目別】発行者別一覧6年'!$Z$9:$AA$31</definedName>
    <definedName name="国語">'【内容項目別】発行者別一覧6年'!$B$9:$F$31</definedName>
    <definedName name="算数">'【内容項目別】発行者別一覧6年'!$K$9:$P$31</definedName>
    <definedName name="社会">'【内容項目別】発行者別一覧6年'!$G$9:$J$31</definedName>
    <definedName name="図画工作">'【内容項目別】発行者別一覧6年'!$X$9:$Y$31</definedName>
    <definedName name="保健">'【内容項目別】発行者別一覧6年'!$AC$9:$AF$31</definedName>
    <definedName name="理科">'【内容項目別】発行者別一覧6年'!$Q$9:$U$31</definedName>
  </definedNames>
  <calcPr fullCalcOnLoad="1"/>
</workbook>
</file>

<file path=xl/sharedStrings.xml><?xml version="1.0" encoding="utf-8"?>
<sst xmlns="http://schemas.openxmlformats.org/spreadsheetml/2006/main" count="549" uniqueCount="396">
  <si>
    <t>課題の内容</t>
  </si>
  <si>
    <t>学年の重点課題</t>
  </si>
  <si>
    <t>国語</t>
  </si>
  <si>
    <t>算数</t>
  </si>
  <si>
    <t>音楽</t>
  </si>
  <si>
    <t>特別活動</t>
  </si>
  <si>
    <t>光文書院</t>
  </si>
  <si>
    <t>法やきまりの意義を理解する</t>
  </si>
  <si>
    <t>相手の立場を理解し，支え合う態度を身に付ける</t>
  </si>
  <si>
    <t>体育</t>
  </si>
  <si>
    <t>社会</t>
  </si>
  <si>
    <t>理科</t>
  </si>
  <si>
    <t>家庭</t>
  </si>
  <si>
    <t>道徳</t>
  </si>
  <si>
    <t xml:space="preserve">●委員会活動開始/4月
</t>
  </si>
  <si>
    <t>保健</t>
  </si>
  <si>
    <t>図画工作</t>
  </si>
  <si>
    <t>学級活動</t>
  </si>
  <si>
    <t>外国語活動</t>
  </si>
  <si>
    <t>総合的な学習
の時間</t>
  </si>
  <si>
    <t>教科</t>
  </si>
  <si>
    <t>集団における役割と責任を果たし，国家・社会の一員としての自覚をもつ</t>
  </si>
  <si>
    <t>●When is your birthday?/5月</t>
  </si>
  <si>
    <t>●係を決めよう/4月
●係活動を見直そう/6月</t>
  </si>
  <si>
    <t>地域・家庭
との連携</t>
  </si>
  <si>
    <t>●学級文庫を活用しよう/10月</t>
  </si>
  <si>
    <t>●学級スポーツ大会をしよう/11月</t>
  </si>
  <si>
    <t>●クラブ活動開始/4月
●クラブ発表会/11月</t>
  </si>
  <si>
    <t>●Turn right./9月</t>
  </si>
  <si>
    <t>●Let's go to Italy./11月</t>
  </si>
  <si>
    <t>●What time do you get up?/12月</t>
  </si>
  <si>
    <t>●Do you have “a”?/4月
●We are good friends./1月</t>
  </si>
  <si>
    <t>●夏休みの計画を立てよう/7月
●2学期の目標を立てよう/9月
●冬休みの計画を立てよう/12月
●3学期の目標を立てよう/1月</t>
  </si>
  <si>
    <t xml:space="preserve">●1学期を振り返ろう/7月
●夏休みを振り返ろう/9月
●2学期を振り返ろう/12月
●1年間を振り返ろう/3月
</t>
  </si>
  <si>
    <t>●1年間の活動のまとめ/3月</t>
  </si>
  <si>
    <t>●短距離走・リレー/4月
●マット運動/5月
●ソフトボール（ベースボール型）/6月
●水泳/7月
●フラッグフットボール（ゴール型）/10月
●体力を高める運動/10月
●走り高とび/10月
●体力を高める運動＋走跳の２種競技（ハードル走・走り幅とび）/11月
●鉄棒運動/12月
●とび箱運動/1月
●サッカー（ゴール型）/2月</t>
  </si>
  <si>
    <t>光村図書</t>
  </si>
  <si>
    <t>東京書籍</t>
  </si>
  <si>
    <t>教育芸術社</t>
  </si>
  <si>
    <t>日本文教出版</t>
  </si>
  <si>
    <t>開隆堂</t>
  </si>
  <si>
    <t>クラブ，児童会，
委員会</t>
  </si>
  <si>
    <t>●体ほぐしの運動/4月
●短距離走・リレー/4月
●マット運動/5月
●ソフトボール（ベースボール型）/6月
●水泳/7月
●リズムダンス＋○月○日私のダイアリー（表現）/9月
●フラッグフットボール（ゴール型）/10月
●体力を高める運動/10月
●走り高とび/10月
●体力を高める運動＋走跳の２種競技（ハードル走・走り幅とび）/11月
●鉄棒運動/12月
●フォークダンス（世界の踊り）/12月
●とび箱運動/1月
●サッカー（ゴール型）/2月</t>
  </si>
  <si>
    <t xml:space="preserve">●体ほぐしの運動/4月
●短距離走・リレー/4月
●マット運動/5月
●ソフトボール（ベースボール型）/6月
●水泳/7月
●フラッグフットボール（ゴール型）/10月
●体力を高める運動/10月
●走り高とび/10月
●体力を高める運動＋走跳の２種競技（ハードル走・走り幅とび）/11月
●鉄棒運動/12月
●とび箱運動/1月
●サッカー（ゴール型）/2月
</t>
  </si>
  <si>
    <t>●フォークダンス（世界の踊り）/12月</t>
  </si>
  <si>
    <t>●Do you have “a”?/4月
●When is your birthday?/5月
●I can swim./6月
●Turn right./9月
●Let's go to Italy./11月
●What time do you get up?/12月
●We are good friends./1月
●What do you want to be?/2月</t>
  </si>
  <si>
    <t>●What do you want to be?/2月</t>
  </si>
  <si>
    <t>東京書籍</t>
  </si>
  <si>
    <t>●ずい筆を書こう/4月</t>
  </si>
  <si>
    <t>●風切るつばさ/5月
●新聞の投書を読み比べよう/6月</t>
  </si>
  <si>
    <t xml:space="preserve">●意見と理由のつながりを聞き取ろう/5月
●問題を解決するために話し合おう/7月
</t>
  </si>
  <si>
    <t xml:space="preserve">●資料を生かして呼びかけよう/9月
</t>
  </si>
  <si>
    <t xml:space="preserve">●サボテンの花/4月
●イースター島にはなぜ森林がないのか/4月
●資料を生かして呼びかけよう/9月
●海のいのち/10月
</t>
  </si>
  <si>
    <t xml:space="preserve">●意見と理由のつながりを聞き取ろう/5月
●風切るつばさ/5月
●問題を解決するために話し合おう/7月
●町の幸福論―コミュニティデザインを考える/11月
</t>
  </si>
  <si>
    <t xml:space="preserve">●漢文を読んでみよう/9月
●日本の文字に関心をもとう/9月
●言葉の由来に関心をもとう/12月
</t>
  </si>
  <si>
    <t xml:space="preserve">●漢文を読んでみよう/9月
●日本の文字に関心をもとう/9月
●町の幸福論―コミュニティデザインを考える/11月
●言葉の由来に関心をもとう/12月
●句会を開こう/1月
●いにしえの言葉に学ぶ/1月
●言葉は変わる/1月
</t>
  </si>
  <si>
    <t xml:space="preserve">●問題を解決するために話し合おう/7月
●場面に応じた言葉を使おう/11月
●出会いにありがとう/1月
</t>
  </si>
  <si>
    <t xml:space="preserve">●プロフェッショナルたち/2月
</t>
  </si>
  <si>
    <t xml:space="preserve">●新聞の投書を読み比べよう/6月
●物語を作ろう/10月
●町の幸福論―コミュニティデザインを考える/11月
●句会を開こう/1月
●出会いにありがとう/1月
●プロフェッショナルたち/2月
●六年間をふり返って書こう/2月
</t>
  </si>
  <si>
    <t xml:space="preserve">●サボテンの花/4月
●生きる/4月
●風切るつばさ/5月
●ヒロシマのうた/12月
●君たちに伝えたいこと/3月
</t>
  </si>
  <si>
    <t xml:space="preserve">●場面に応じた言葉を使おう/11月
●ヒロシマのうた/12月
●出会いにありがとう/1月
●六年間をふり返って書こう/2月
●君たちに伝えたいこと/3月
</t>
  </si>
  <si>
    <t xml:space="preserve">●風切るつばさ/5月
</t>
  </si>
  <si>
    <t xml:space="preserve">●君たちに伝えたいこと/3月
</t>
  </si>
  <si>
    <t xml:space="preserve">●新聞の投書を読み比べよう/6月
</t>
  </si>
  <si>
    <t>学校図書</t>
  </si>
  <si>
    <t xml:space="preserve">●服を着たゾウ/4月
</t>
  </si>
  <si>
    <t xml:space="preserve">●発明・発見は，はてなから/5月
</t>
  </si>
  <si>
    <t xml:space="preserve">●狂言 盆山/9月
</t>
  </si>
  <si>
    <t xml:space="preserve">●電子メールや送付状（送り状）の書き方/9月
</t>
  </si>
  <si>
    <t xml:space="preserve">●すいせんします。この委員会活動/6月
●パネルディスカッションをしよう/11月
</t>
  </si>
  <si>
    <t xml:space="preserve">●国境なき大陸　南極/1月
</t>
  </si>
  <si>
    <t xml:space="preserve">●遠眼鏡の海/4月
●「本物の森」で未来を守る/10月
●国境なき大陸　南極/1月
</t>
  </si>
  <si>
    <t xml:space="preserve">●遠眼鏡の海/4月
●言語感覚を豊かにしよう/9月
●「連詩」を発見する/11月
●ぼくの・私の物語作り/1月
●国境なき大陸　南極/1月
</t>
  </si>
  <si>
    <t xml:space="preserve">●服を着たゾウ/4月
●フリードルとテレジンの小さな画家たち/7月
●ヒロシマの傷/9月
●きのうより一回だけ多く/9月
●「本物の森」で未来を守る/10月
●その日，ぼくが考えたこと/3月
</t>
  </si>
  <si>
    <t>三省堂</t>
  </si>
  <si>
    <t xml:space="preserve">●紅鯉/7月
●まほう使いのチョコレート・ケーキ/10月
</t>
  </si>
  <si>
    <t xml:space="preserve">●声に出して読もう―漢文/1月
</t>
  </si>
  <si>
    <t xml:space="preserve">●わたしたちの言葉/6月
●お札にしたいあの人物/9月
●「なべ」の国，日本/11月
●どんな国？/12月
●声に出して読もう―漢文/1月
●短歌を作る/1月
</t>
  </si>
  <si>
    <t xml:space="preserve">●あなたの意見は？/7月
●猿橋勝子/2月
</t>
  </si>
  <si>
    <t xml:space="preserve">●平和な世の中を築くために―パネルディスカッション―/2月
</t>
  </si>
  <si>
    <t xml:space="preserve">●まほう使いのチョコレート・ケーキ/10月
●雪わたり/3月
</t>
  </si>
  <si>
    <t xml:space="preserve">●竜/4月
●宇宙時代を生きる/5月
●まほう使いのチョコレート・ケーキ/10月
●雪わたり/3月
</t>
  </si>
  <si>
    <t xml:space="preserve">●自由な発想で―随筆―/6月
●どんな国？/12月
●世界に一冊の「マイブック」/3月
</t>
  </si>
  <si>
    <t>教育出版</t>
  </si>
  <si>
    <t xml:space="preserve">●薫風/4月
●川とノリオ/7月
</t>
  </si>
  <si>
    <t xml:space="preserve">●レポートの組み立て/11月
</t>
  </si>
  <si>
    <t xml:space="preserve">●敬意を表す言い方/7月
●心を見せる言葉/9月
</t>
  </si>
  <si>
    <t xml:space="preserve">●随筆を書こう/9月
</t>
  </si>
  <si>
    <t xml:space="preserve">●ぼくの世界，君の世界/11月
</t>
  </si>
  <si>
    <t xml:space="preserve">●意見文を書こう/11月
</t>
  </si>
  <si>
    <t xml:space="preserve">●グループで話し合おう/5月
●未来の自動車―パネルディスカッションをしよう―/9月
●ぼくの世界，君の世界/11月
●私の大切な一冊/12月
</t>
  </si>
  <si>
    <t xml:space="preserve">●引用して話そう/4月
●「迷う」/4月
●意見文を書こう/11月
●伊能忠敬/1月
</t>
  </si>
  <si>
    <t xml:space="preserve">●薫風/4月
●春はあけぼの/6月
●伊能忠敬/1月
●言葉は時代とともに/2月
●日本語の文字/2月
</t>
  </si>
  <si>
    <t xml:space="preserve">●森林のはたらきと健康/6月
●未来の自動車―パネルディスカッションをしよう―/9月
●君へ/3月
●二十一世紀に生きる君たちへ/3月
</t>
  </si>
  <si>
    <t xml:space="preserve">●言葉は時代とともに/2月
●二十一世紀に生きる君たちへ/3月
</t>
  </si>
  <si>
    <t xml:space="preserve">●伊能忠敬/1月
●二十一世紀に生きる君たちへ/3月
</t>
  </si>
  <si>
    <t xml:space="preserve">●時計の時間と心の時間/5月
</t>
  </si>
  <si>
    <t xml:space="preserve">●学級討論会をしよう/5月
</t>
  </si>
  <si>
    <t xml:space="preserve">●未来がよりよくあるために/9月
●生活の中の言葉/10月
</t>
  </si>
  <si>
    <t xml:space="preserve">●伝えにくいことを伝える/5月
●表現を選ぶ/12月
</t>
  </si>
  <si>
    <t xml:space="preserve">●未来がよりよくあるために/9月
●自然に学ぶ暮らし/1月
</t>
  </si>
  <si>
    <t xml:space="preserve">●笑うから楽しい/5月
●今，私は，ぼくは/2月
</t>
  </si>
  <si>
    <t xml:space="preserve">●この絵，私はこう見る/11月
●中学校へつなげよう/3月
</t>
  </si>
  <si>
    <t xml:space="preserve">●たのしみは/9月
●未来がよりよくあるために/9月
●『鳥獣戯画』を読む/11月
●自然に学ぶ暮らし/1月
●忘れられない言葉/1月
●中学校へつなげよう/3月
</t>
  </si>
  <si>
    <t xml:space="preserve">●生きる/3月
</t>
  </si>
  <si>
    <t xml:space="preserve">●かなえられた願い―日本人になること/3月
</t>
  </si>
  <si>
    <t xml:space="preserve">●３人の武将と天下統一/7月
●町人の文化と新しい学問/9月
</t>
  </si>
  <si>
    <t xml:space="preserve">●３人の武将と天下統一/7月
●町人の文化と新しい学問/9月
●子育て支援の願いを実現する政治/震災復興の願いを実現する政治（選択）/12月
</t>
  </si>
  <si>
    <t xml:space="preserve">●わたしたちのくらしと日本国憲法/1月
</t>
  </si>
  <si>
    <t xml:space="preserve">●江戸幕府と政治の安定/9月
●明治の国づくりを進めた人々/10月
●世界に歩み出した日本/10月
●長く続いた戦争と人々の暮らし/11月
●国の政治のしくみ/1月
●わたしたちのくらしと日本国憲法/1月
</t>
  </si>
  <si>
    <t>教育出版</t>
  </si>
  <si>
    <t>教育出版</t>
  </si>
  <si>
    <t xml:space="preserve">●今も受けつがれる室町文化/6月
</t>
  </si>
  <si>
    <t xml:space="preserve">●新しい文化と学問/7月
●近代国家に向けて/9月
</t>
  </si>
  <si>
    <t xml:space="preserve">●戦争と人々の暮らし/10月
●わたしたちの暮らしを支える政治/12月
</t>
  </si>
  <si>
    <t xml:space="preserve">●わたしたちの暮らしを支える政治/12月
</t>
  </si>
  <si>
    <t xml:space="preserve">●新しい文化と学問/7月
●近代国家に向けて/9月
●わたしたちの暮らしを支える政治/12月
</t>
  </si>
  <si>
    <t xml:space="preserve">●憲法とわたしたちの暮らし/1月
</t>
  </si>
  <si>
    <t xml:space="preserve">●平和で豊かな暮らしを目ざして/11月
●わたしたちの暮らしを支える政治/12月
●憲法とわたしたちの暮らし/1月
</t>
  </si>
  <si>
    <t xml:space="preserve">●憲法とわたしたちの暮らし/1月
●世界の人々とともに生きる/3月
</t>
  </si>
  <si>
    <t xml:space="preserve">●幕府の政治と人々の暮らし/7月
●新しい時代の幕あけ/9月
●戦争と人々の暮らし/10月
●世界の人々とともに生きる/3月
</t>
  </si>
  <si>
    <t xml:space="preserve">●平和で豊かな暮らしを目ざして/11月
●世界の人々とともに生きる/3月
</t>
  </si>
  <si>
    <t>光村図書</t>
  </si>
  <si>
    <t xml:space="preserve">●今に生きる室町文化/6月
</t>
  </si>
  <si>
    <t xml:space="preserve">●狩りや採集の時代から米作りの時代へ/4月
●戦国の世から泰平の世へ/6月
●都市の発展と江戸の文化/9月
●開国から世界の中の日本へ/9月
</t>
  </si>
  <si>
    <t xml:space="preserve">●源平の戦いと鎌倉幕府/5月
●暮らしの中に生きる憲法/12月
</t>
  </si>
  <si>
    <t xml:space="preserve">●世界とつながる日本/1月
</t>
  </si>
  <si>
    <t xml:space="preserve">●狩りや採集の時代から米作りの時代へ/4月
●強まる天皇の力と貴族の文化/4月
●源平の戦いと鎌倉幕府/5月
●今に生きる室町文化/6月
●戦国の世から泰平の世へ/6月
●都市の発展と江戸の文化/9月
●開国から世界の中の日本へ/9月
●世界とつながる日本/1月
●ともに生きる世界を目ざして/2月
</t>
  </si>
  <si>
    <t>日本文教出版</t>
  </si>
  <si>
    <t xml:space="preserve">●今に伝わる室町の文化と人々のくらし/6月
</t>
  </si>
  <si>
    <t xml:space="preserve">●大昔のくらしと国の統一/4月
●貴族の政治とくらし/5月
●武士による政治のはじまり/6月
●今に伝わる室町の文化と人々のくらし/6月
●天下統一と江戸幕府/7月
●江戸の社会と文化・学問/9月
●明治の新しい国づくり/10月
</t>
  </si>
  <si>
    <t xml:space="preserve">●アジア・太平洋に広がる戦争/11月
</t>
  </si>
  <si>
    <t xml:space="preserve">●わたしたちのくらしと憲法/1月
</t>
  </si>
  <si>
    <t xml:space="preserve">●私たちの願いと政治のはたらき/1月
●わたしたちのくらしと憲法/1月
</t>
  </si>
  <si>
    <t xml:space="preserve">●対称な図形/4月
●円の面積/5月
●文字と式/5月
●分数のかけ算/5月
●分数のわり算/6月
●およその面積や体積
●比と比の値/9月
●拡大図と縮図/9月
●比例と反比例/10月
●並べ方と組み合わせ方/12月
●資料の調べ方/1月
</t>
  </si>
  <si>
    <t>大日本図書</t>
  </si>
  <si>
    <t xml:space="preserve">●分数のかけ算/5月
●分数のわり算/6月
</t>
  </si>
  <si>
    <t xml:space="preserve">●対称な図形/4月
●文字を使った式/5月
●分数のかけ算/5月
●分数のわり算/6月
●円の面積/7月
●拡大図と縮図/10月
●およその形と面積/12月
●資料の調べ方/1月
</t>
  </si>
  <si>
    <t xml:space="preserve">●６年間のまとめ/2月
</t>
  </si>
  <si>
    <t xml:space="preserve">●６年間のまとめ/2月
</t>
  </si>
  <si>
    <t>学校図書</t>
  </si>
  <si>
    <t xml:space="preserve">●対称/4月
●文字と式/5月
●小数と分数の計算/6月
●曲線のある形の面積/6月
●ならべ方と組み合わせ方/9月
●比とその応用/10月
●拡大図と縮図/11月
●比例と反比例/11月
●資料の調べ方/1月
●算数で使ってきた考え方/2月
</t>
  </si>
  <si>
    <t xml:space="preserve">●中学校へのかけ橋/2月
</t>
  </si>
  <si>
    <t xml:space="preserve">●対称/4月
●文字と式/5月
●分数のかけ算/5月
●分数のわり算/6月
●記録比べ/6月
●曲線のある形の面積/6月
●速さ/9月
●立体の体積/10月
●比とその応用/10月
●拡大図と縮図/11月
●比例と反比例/11月
●量と単位/1月
●算数のまとめ/2月
●算数で使ってきた考え方/2月
●中学校へのかけ橋/2月
</t>
  </si>
  <si>
    <t xml:space="preserve">●文字を使った式/4月
●対称な図形/4月
●分数のかけ算/5月
●分数のわり算/6月
●速さ/6月
●円の面積/9月
●比/10月
●拡大図と縮図/11月
●資料の調べ方/1月
●算数を使って考えよう/2月
●６年のまとめ/2月
</t>
  </si>
  <si>
    <t xml:space="preserve">●６年のまとめ/2月
</t>
  </si>
  <si>
    <t>啓林館</t>
  </si>
  <si>
    <t xml:space="preserve">●対称な図形/4月
●分数×分数/5月
●分数÷分数/6月
●場合をあげて調べて/7月
●図形の拡大と縮小/9月
●変わり方を調べて（1）/10月
●比例と反比例/10月
●資料の調べ方/11月
●変わり方を調べて（2）/12月
●見積もりを使って/1月
●割合を使って/1月
</t>
  </si>
  <si>
    <t xml:space="preserve">●対称な図形/4月
●文字と式/4月
●分数×分数/5月
●分数÷分数/6月
●円の面積/6月
●比とその利用/6月
●場合をあげて調べて/7月
●図形の拡大と縮小/9月
●速さ/9月
●変わり方を調べて（1）/10月
●比例と反比例/10月
●立体の体積/11月
●およその形と大きさ/11月
●資料の調べ方/11月
●変わり方を調べて（2）/12月
●場合を順序よく整理して/12月
●見積もりを使って/1月
●割合を使って/1月
●量の単位/1月
●６年のまとめ/2月
</t>
  </si>
  <si>
    <t xml:space="preserve">●分数のわり算/5月
●円の面積/6月
●拡大図と縮図/10月
●記録の整理/12月
</t>
  </si>
  <si>
    <t xml:space="preserve">●小学校６年間のまとめ/2月
●もうすぐ中学生/3月
</t>
  </si>
  <si>
    <t xml:space="preserve">●対称な図形/4月
●文字の式/4月
●分数のかけ算/5月
●分数のわり算/5月
●円の面積/6月
●速さ/6月
●角柱と円柱の体積/9月
●比/9月
●拡大図と縮図/10月
●比例と反比例/10月
●場合の数/11月
●記録の整理/12月
●量の単位/1月
●小学校６年間のまとめ/2月
●もうすぐ中学生/3月
</t>
  </si>
  <si>
    <t xml:space="preserve">●もうすぐ中学生/3月
</t>
  </si>
  <si>
    <t xml:space="preserve">●地球と私たちのくらし/4月　
●太陽と月の形/9月
</t>
  </si>
  <si>
    <t xml:space="preserve">●物の燃え方と空気/4月
●動物のからだのはたらき/5月
●植物のからだのはたらき/6月
●生き物のくらしと環境/6月
●太陽と月の形/9月
●大地のつくり/9月
●変わり続ける大地/10月
●てこのはたらき/10月
●水溶液の性質とはたらき/11月
●電気と私たちのくらし/1月
</t>
  </si>
  <si>
    <t xml:space="preserve">●わたしたちの生活と環境/4月
</t>
  </si>
  <si>
    <t xml:space="preserve">●体のつくりとはたらき/6月
</t>
  </si>
  <si>
    <t xml:space="preserve">●月と太陽/9月
</t>
  </si>
  <si>
    <t xml:space="preserve">●水よう液の性質/9月
</t>
  </si>
  <si>
    <t xml:space="preserve">●わたしたちの生活と環境/4月
●生物と地球環境/2月
</t>
  </si>
  <si>
    <t xml:space="preserve">●植物の成長と日光の関わり/5月
●体のつくりとはたらき/6月
●植物の成長と水の関わり/7月
●生物どうしの関わり/7月
●月と太陽/9月
●土地のつくりと変化/10月
●生物と地球環境/2月
</t>
  </si>
  <si>
    <t xml:space="preserve">●人や動物の体/6月
</t>
  </si>
  <si>
    <t xml:space="preserve">●ものの燃え方と空気/5月
●人や動物の体/6月
●植物の養分と水/6月
●生物のくらしと環境/7月
●てこのしくみとはたらき/9月
●月の形と太陽/10月
●大地のつくりと変化/11月
●水溶液の性質/12月
●電気とわたしたちの生活/1月
</t>
  </si>
  <si>
    <t xml:space="preserve">●人と環境/2月
</t>
  </si>
  <si>
    <t xml:space="preserve">●もうすぐ中学生/3月
</t>
  </si>
  <si>
    <t xml:space="preserve">●水溶液の性質/12月
●もうすぐ中学生/3月
</t>
  </si>
  <si>
    <t xml:space="preserve">●水よう液/11月
</t>
  </si>
  <si>
    <t xml:space="preserve">●人や他の動物の体/5月
</t>
  </si>
  <si>
    <t xml:space="preserve">●ものの燃え方と空気/4月
●人や他の動物の体/5月
●植物の体/6月
●てこのはたらき/9月
●土地のつくりと変化/10月
●水よう液/11月
●電流による発熱/12月
●月と太陽/1月
●電気の利用/1月
</t>
  </si>
  <si>
    <t xml:space="preserve">●生き物とかんきょう/2月
</t>
  </si>
  <si>
    <t xml:space="preserve">●人や他の動物の体/5月
●植物の体/6月
●土地のつくりと変化/10月
●月と太陽/1月
●生き物とかんきょう/2月
</t>
  </si>
  <si>
    <t>啓林館</t>
  </si>
  <si>
    <t xml:space="preserve">●ヒトや動物の体/5月
</t>
  </si>
  <si>
    <t xml:space="preserve">●ものが燃えるとき/4月
●ヒトや動物の体/5月
●植物のつくりとはたらき/6月
●生物どうしのつながり/6月
●水よう液の性質/9月
●月と太陽/10月
●大地のつくりと変化/11月
●てこのはたらき/1月
●発電と電気の利用/2月
</t>
  </si>
  <si>
    <t xml:space="preserve">●自然とともに生きる/3月
</t>
  </si>
  <si>
    <t xml:space="preserve">●自然とともに生きる/4月
●ヒトや動物の体/5月
●植物のつくりとはたらき/6月
●生物どうしのつながり/6月
●月と太陽/10月
●大地のつくりと変化/11月
●自然とともに生きる/3月
</t>
  </si>
  <si>
    <t xml:space="preserve">●にっぽんのうた　みんなのうた/4月
●音の重なりとひびき/5月
●演奏のみりょく/7月
●音楽のききどころ/9月
●音楽に思いをこめて/2月
</t>
  </si>
  <si>
    <t xml:space="preserve">●ひびき合いを生かして/6月
●音楽のききどころ/9月
●豊かな表現を求めて/10月
●音のスケッチ/12月
●音楽に思いをこめて/2月
</t>
  </si>
  <si>
    <t xml:space="preserve">●豊かな歌声をひびかせよう/4月
</t>
  </si>
  <si>
    <t xml:space="preserve">●いろいろな音のひびきを味わおう/6月
</t>
  </si>
  <si>
    <t xml:space="preserve">●詩と音楽を味わおう/12月
</t>
  </si>
  <si>
    <t xml:space="preserve">●詩と音楽を味わおう/12月
●日本と世界の音楽に親しもう/1月
</t>
  </si>
  <si>
    <t xml:space="preserve">●いろいろな音のひびきを味わおう/6月
●和音の美しさを味わおう/9月
●日本と世界の音楽に親しもう/1月
</t>
  </si>
  <si>
    <t xml:space="preserve">●心をこめて表現しよう/2月
</t>
  </si>
  <si>
    <t>開隆堂</t>
  </si>
  <si>
    <t>大日本図書</t>
  </si>
  <si>
    <t>光文書院</t>
  </si>
  <si>
    <t>●病気の予防/6月
●病気の予防/2月</t>
  </si>
  <si>
    <t>●雪わたり/3月</t>
  </si>
  <si>
    <t>音楽</t>
  </si>
  <si>
    <t>家庭</t>
  </si>
  <si>
    <t>教科</t>
  </si>
  <si>
    <t xml:space="preserve">●春のいぶき/4月
●河鹿の屏風/6月
●夏のさかり/6月
●ようこそ，私たちの町へ/6月
●たのしみは/9月
●イーハトーヴの夢/10月
●秋の深まり/10月
●『鳥獣戯画』を読む/11月
●伝えられてきたもの/11月
●狂言 柿山伏/11月
●柿山伏について/11月
●春を待つ冬/2月
●かなえられた願い―日本人になること/3月
</t>
  </si>
  <si>
    <t xml:space="preserve">
</t>
  </si>
  <si>
    <t>●月と太陽/1月</t>
  </si>
  <si>
    <t>学研教育みらい</t>
  </si>
  <si>
    <t xml:space="preserve">        教科・領域
               など　
内容項目</t>
  </si>
  <si>
    <t xml:space="preserve">●地球に生きる/2月
</t>
  </si>
  <si>
    <t>●病気の予防/6月
●病気の予防/2月</t>
  </si>
  <si>
    <t xml:space="preserve">●町の幸福論―コミュニティデザインを考える/11月
●いにしえの言葉に学ぶ/1月
●プロフェッショナルたち/2月
●春に/3月
</t>
  </si>
  <si>
    <t xml:space="preserve">●時計の時間と心の時間/5月
●未来がよりよくあるために/9月
●イーハトーヴの夢/10月
</t>
  </si>
  <si>
    <t xml:space="preserve">●源平の戦いと鎌倉幕府/5月
●戦国の世から泰平の世へ/6月
●開国から世界の中の日本へ/9月
</t>
  </si>
  <si>
    <t xml:space="preserve">●江戸の社会と文化・学問/9月
●明治の新しい国づくり/10月
●国力の充実をめざす日本と国際社会/10月
</t>
  </si>
  <si>
    <t xml:space="preserve">●中学校へのかけ橋/2月
</t>
  </si>
  <si>
    <t xml:space="preserve">●算数のまとめ/2月
</t>
  </si>
  <si>
    <t xml:space="preserve">●６年のまとめ/2月
</t>
  </si>
  <si>
    <t xml:space="preserve">●発明・発見は，はてなから/5月
●自分の脳を自分で育てる/6月
●言語感覚を豊かにしよう/9月
●「本物の森」で未来を守る/10月
●パネルディスカッションをしよう/11月
●卒業レポートを書こう/2月
</t>
  </si>
  <si>
    <t xml:space="preserve">●このニュース，わたしはこう思う/5月
●ニュースと編集について/5月
●わたしたちの言葉/6月
●自由な発想で―随筆―/6月
●お札にしたいあの人物/9月
●よさを伝える広告/10月
●「なべ」の国，日本/11月
●説得力のある意見/12月
●短歌を作る/1月
</t>
  </si>
  <si>
    <t xml:space="preserve">●江戸の社会と文化・学問/9月
●明治の新しい国づくり/10月
●国力の充実をめざす日本と国際社会/10月
</t>
  </si>
  <si>
    <t xml:space="preserve">●ものの燃え方/4月
●植物の成長と日光の関わり/5月
●体のつくりとはたらき/6月
●植物の成長と水の関わり/7月
●月と太陽/9月
●水よう液の性質/9月
●土地のつくりと変化/10月
●てこのはたらき/11月
●電気の性質とその利用/1月
</t>
  </si>
  <si>
    <t xml:space="preserve">●音の重なりとひびき/5月
●ひびき合いを生かして/6月
●豊かな表現を求めて/10月
●音のスケッチ/12月
</t>
  </si>
  <si>
    <t xml:space="preserve">●和音の美しさを味わおう/9月
●曲想を味わおう/10月
●心をこめて表現しよう/2月
</t>
  </si>
  <si>
    <t xml:space="preserve">●電子メールや送付状（送り状）の書き方/9月
</t>
  </si>
  <si>
    <t xml:space="preserve">●グループで話し合おう/5月
●一年生に向けて物語を書こう/11月
●二十一世紀に生きる君たちへ/3月
</t>
  </si>
  <si>
    <t xml:space="preserve">●笑うから楽しい/5月
●伝えにくいことを伝える/5月
●未来がよりよくあるために/9月
●生活の中の言葉/10月
●表現を選ぶ/12月
●忘れられない言葉/1月
</t>
  </si>
  <si>
    <t xml:space="preserve">●場面に応じた言葉を使おう/11月
</t>
  </si>
  <si>
    <t xml:space="preserve">●今に伝わる室町の文化と人々のくらし/6月
</t>
  </si>
  <si>
    <t xml:space="preserve">●学級討論会をしよう/5月
</t>
  </si>
  <si>
    <t xml:space="preserve">●子育て支援の願いを実現する政治/震災復興の願いを実現する政治（選択）/12月
</t>
  </si>
  <si>
    <t xml:space="preserve">●フリードルとテレジンの小さな画家たち/7月
</t>
  </si>
  <si>
    <t xml:space="preserve">●このニュース，わたしはこう思う/5月
</t>
  </si>
  <si>
    <t xml:space="preserve">●引用して話そう/4月
●考えや意見をノートにまとめよう/4月
●意見文を書こう/11月
</t>
  </si>
  <si>
    <t xml:space="preserve">●江戸幕府と政治の安定/9月
●子育て支援の願いを実現する政治/震災復興の願いを実現する政治（選択）/12月
●国の政治のしくみ/1月
●わたしたちのくらしと日本国憲法/1月
</t>
  </si>
  <si>
    <t xml:space="preserve">●みんなの願いと政治の働き/11月
●暮らしの中に生きる憲法/12月
</t>
  </si>
  <si>
    <t xml:space="preserve">●対称な図形/4月
●円の面積/5月
●文字と式/5月
●角柱と円柱の体積/7月
●比と比の値/9月
●拡大図と縮図/9月
●速さ/10月
●比例と反比例/10月
●並べ方と組み合わせ方/12月
●量の単位のしくみ/1月
</t>
  </si>
  <si>
    <t xml:space="preserve">●対称な図形/4月
●文字を使った式/5月
●円の面積/7月
●速さ/9月
●角柱と円柱の体積/9月
●場合の数/9月
●比/10月
●拡大図と縮図/10月
●比例と反比例/11月
●量の単位/1月
●６年間のまとめ/2月
</t>
  </si>
  <si>
    <t xml:space="preserve">●文字を使った式/4月
●対称な図形/4月
●分数のかけ算/5月
●分数のわり算/6月
●速さ/6月
●円の面積/9月
●比例と反比例/9月
●角柱と円柱の体積/10月
●比/10月
●拡大図と縮図/11月
●場合の数/12月
●いろいろな単位/1月
●算数を使って考えよう/2月
●６年のまとめ/2月
●算数のまとめ/2月
</t>
  </si>
  <si>
    <t xml:space="preserve">●水溶液の性質とはたらき/11月
</t>
  </si>
  <si>
    <t>●短距離走・リレー/4月
●マット運動/5月
●ソフトボール（ベースボール型）/6月
●水泳/7月
●フラッグフットボール（ゴール型）/10月
●体力を高める運動/10月
●走り高とび/10月
●体力を高める運動＋走跳の２種競技（ハードル走・走り幅とび）/11月
●鉄棒運動/12月
●とび箱運動/1月
●サッカー（ゴール型）/2月</t>
  </si>
  <si>
    <t xml:space="preserve">●柿山伏について/11月
</t>
  </si>
  <si>
    <t xml:space="preserve">●暮らしの中に生きる憲法/12月
</t>
  </si>
  <si>
    <t xml:space="preserve">●すいせんします。この委員会活動/6月
</t>
  </si>
  <si>
    <t xml:space="preserve">●ヒロシマのうた/12月
●君たちに伝えたいこと/3月
</t>
  </si>
  <si>
    <t xml:space="preserve">●その日，ぼくが考えたこと/3月
</t>
  </si>
  <si>
    <t xml:space="preserve">●カレーライス/4月
</t>
  </si>
  <si>
    <t xml:space="preserve">●縄文のむらから古墳のくにへ/ 4月
●天皇中心の国づくり/5月
●貴族のくらし/5月
●武士の世の中へ/6月
●今に伝わる室町文化/6月
●３人の武将と天下統一/7月
●江戸幕府と政治の安定/9月
●町人の文化と新しい学問/9月
●明治の国づくりを進めた人々/10月
●世界に歩み出した日本/10月
●日本とつながりの深い国々/2月
●世界の未来と日本の役割/3月
</t>
  </si>
  <si>
    <t xml:space="preserve">●国づくりへの歩み/4月
●大陸に学んだ国づくり/5月
●武士の政治が始まる/5月
●今も受けつがれる室町文化/6月
●全国統一への動き/6月
●幕府の政治と人々の暮らし/7月
●新しい文化と学問/7月
●新しい時代の幕あけ/9月
●近代国家に向けて/9月
●世界の人々とともに生きる/3月
</t>
  </si>
  <si>
    <t xml:space="preserve">●にっぽんのうた　みんなのうた/4月
●私たちの国の音楽/1月
</t>
  </si>
  <si>
    <t xml:space="preserve">●縄文のむらから古墳のくにへ/ 4月
●天皇中心の国づくり/5月
●貴族のくらし/5月
●明治の国づくりを進めた人々/10月
●世界に歩み出した日本/10月
●新しい日本、平和な日本へ11月
●日本とつながりの深い国々/2月
●世界の未来と日本の役割/3月
</t>
  </si>
  <si>
    <t xml:space="preserve">●大陸に学んだ国づくり/5月
●全国統一への動き/6月
●新しい時代の幕あけ/9月
●平和で豊かな暮らしを目ざして/11月
●日本とつながりの深い国々/2月
●世界の人々とともに生きる/3月
</t>
  </si>
  <si>
    <t xml:space="preserve">●強まる天皇の力と貴族の文化/4月
●都市の発展と江戸の文化/9月
●開国から世界の中の日本へ/9月
●戦争の時代から平和の時代へ/10月
●世界とつながる日本/1月
●ともに生きる世界を目ざして/2月
</t>
  </si>
  <si>
    <t xml:space="preserve">●大昔のくらしと国の統一/4月
●貴族の政治とくらし/5月
●国力の充実をめざす日本と国際社会/10月
●アジア・太平洋に広がる戦争/11月
●新しい日本へのあゆみ/12月
●日本とつながりの深い国々/2月
●国際連合のはたらきと日本人の役割/2月
</t>
  </si>
  <si>
    <t>●宇宙時代を生きる/5月
●だいち/9月</t>
  </si>
  <si>
    <t xml:space="preserve">●川とノリオ/7月
●君へ/3月
</t>
  </si>
  <si>
    <t xml:space="preserve">●長く続いた戦争と人々の暮らし/11月
●子育て支援の願いを実現する政治/震災復興の願いを実現する政治（選択）/12月
</t>
  </si>
  <si>
    <t xml:space="preserve">●戦争の時代から平和の時代へ/10月
</t>
  </si>
  <si>
    <t xml:space="preserve">●動物のからだのはたらき/5月
</t>
  </si>
  <si>
    <t xml:space="preserve">●だいち/9月
●猿橋勝子/2月
●雪わたり/3月
</t>
  </si>
  <si>
    <t xml:space="preserve">●春のいぶき/4月
●森へ/6月
●夏のさかり/6月
●せんねん　まんねん/9月
●未来がよりよくあるために/9月
●秋の深まり/10月
●自然に学ぶ暮らし/1月
●春を待つ冬/2月
●海の命/2月
●生きる/3月
●生き物はつながりの中に/3月
</t>
  </si>
  <si>
    <t xml:space="preserve">●世界の未来と日本の役割/3月
</t>
  </si>
  <si>
    <t xml:space="preserve">●新しい日本へのあゆみ/12月
●国際連合のはたらきと日本人の役割/2月
</t>
  </si>
  <si>
    <t xml:space="preserve">●地球と私たちのくらし/4月　
●動物のからだのはたらき/5月
●植物のからだのはたらき/6月
●生き物のくらしと環境/6月
●太陽と月の形/9月
●大地のつくり/9月
●変わり続ける大地/10月
●水溶液の性質とはたらき/11月
●地球に生きる/2月
</t>
  </si>
  <si>
    <t xml:space="preserve">●人や動物の体/6月
●植物の養分と水/6月
●生物のくらしと環境/7月
●月の形と太陽/10月
●大地のつくりと変化/11月
●人と環境/2月
</t>
  </si>
  <si>
    <t>●リズムダンス＋○月○日私のダイアリー（表現）/9月</t>
  </si>
  <si>
    <t xml:space="preserve">●きつねの窓/12月
</t>
  </si>
  <si>
    <t xml:space="preserve">●きつねの窓/10月
</t>
  </si>
  <si>
    <t xml:space="preserve">●森へ/6月
●河鹿の屏風/6月
●やまなし/10月
●海の命/2月
●中学校へつなげよう/3月
●生きる/3月
●生き物はつながりの中に/3月
</t>
  </si>
  <si>
    <t xml:space="preserve">●今も受けつがれる室町文化/6月
</t>
  </si>
  <si>
    <t xml:space="preserve">●今に生きる室町文化/6月
</t>
  </si>
  <si>
    <t>●I can swim./6月</t>
  </si>
  <si>
    <t xml:space="preserve">●海のいのち/10月
●春に/3月
</t>
  </si>
  <si>
    <t>●海のいのち/10月</t>
  </si>
  <si>
    <t>●伊能忠敬/1月
●二十一世紀に生きる君たちへ/3月</t>
  </si>
  <si>
    <t>●未来がよりよくあるために/9月
●海の命/2月</t>
  </si>
  <si>
    <t>保健</t>
  </si>
  <si>
    <t>●感じたままに花/わたしのお気に入りの場所/4月</t>
  </si>
  <si>
    <t>●白い物語/6月</t>
  </si>
  <si>
    <t>●感じたままに花/わたしのお気に入りの場所/4月
●墨のうた/7月</t>
  </si>
  <si>
    <t>●動き出すストーリー/強くてやさしい組み木パズル/9月</t>
  </si>
  <si>
    <t>●動き出すストーリー/強くてやさしい組み木パズル/9月
●はさみと紙のハーモニー/11月</t>
  </si>
  <si>
    <t>●白い物語/6月
●わたしはデザイナー　12さいの力で/伝え方をたのしもう/3月</t>
  </si>
  <si>
    <t>●わたしはデザイナー　12さいの力で/伝え方をたのしもう/3月</t>
  </si>
  <si>
    <t>●見つめて 広げて/形や色を楽しもう/4月
●動きをとらえて形を見つけて/5月
●水の流れのように/6月
●わたしの大切な風景/7月</t>
  </si>
  <si>
    <t>●わたしの大切な風景/7月</t>
  </si>
  <si>
    <t>●光の形/9月
●筆あと研究所/12月
●味わってみよう和の形/1月</t>
  </si>
  <si>
    <t>●見つめて 広げて/形や色を楽しもう/4月
●わたしの大切な風景/7月
●墨で表す/10月
●味わってみよう和の形/1月</t>
  </si>
  <si>
    <t>●見つめて 広げて/形や色を楽しもう/4月
●想像のつばさを広げて/5月
●動きをとらえて形を見つけて/5月
●水の流れのように/6月
●アミアミアミーゴ/10月
●ひらいてみると/11月
●筆あと研究所/12月
●版から広がる世界/1月</t>
  </si>
  <si>
    <t>●筆あと研究所/12月
●ドリームプラン/2月
●12年後のわたし/3月</t>
  </si>
  <si>
    <t>●くるくるクランク/9月
●アミアミアミーゴ/10月
●ドリームプラン/2月
●12年後のわたし/3月</t>
  </si>
  <si>
    <t>●地球に生きる/2月</t>
  </si>
  <si>
    <t>●生物と地球環境/2月</t>
  </si>
  <si>
    <t>●人と環境/2月</t>
  </si>
  <si>
    <t>●生き物とかんきょう/2月</t>
  </si>
  <si>
    <t>●自然とともに生きる/3月</t>
  </si>
  <si>
    <t>●想像のつばさを広げて/5月
●水の流れのように/6月
●くるくるクランク/9月
●アミアミアミーゴ/10月
●墨で表す/10月
●ひらいてみると/11月
●いっしゅんの形から/11月
●版から広がる世界/1月
●ドリームプラン/2月
●12年後のわたし/3月</t>
  </si>
  <si>
    <t>●学級目標を決めよう/4月
●学級の旗を作ろう/5月
●6年生を送る会の準備をしよう/2月</t>
  </si>
  <si>
    <t xml:space="preserve">●町の幸福論―コミュニティデザインを考える/11月
●六年間をふり返って書こう/2月
</t>
  </si>
  <si>
    <t xml:space="preserve">●学校案内パンフレットを作ろう/5月
●グループで話し合おう/5月
●一年生に向けて物語を書こう/11月
</t>
  </si>
  <si>
    <t>●全校集会/5月
●全校集会/10月
●全校集会/1月
●クラブ見学会/2月</t>
  </si>
  <si>
    <t xml:space="preserve">  　   　教科・領域
        　　   など　
内容項目</t>
  </si>
  <si>
    <t>●感じたままに花/わたしのお気に入りの場所/4月
●なぞの入口から…/5月
●布と枝のコンサート/5月
●クローズアップで見える新世界/10月
●白の世界/11月
●はさみと紙のハーモニー/11月
●形と色が動き出す/1月
●写して見つけたわたしの世界/2月
●わたしはデザイナー　12さいの力で/伝え方をたのしもう/3月</t>
  </si>
  <si>
    <t>●なぞの入口から…/5月
●形と色が動き出す/1月
●わたしはデザイナー　12さいの力で/伝え方をたのしもう/3月</t>
  </si>
  <si>
    <t>●布と枝のコンサート/5月
●墨のうた/7月
●動き出すストーリー/強くてやさしい組み木パズル/9月
●クローズアップで見える新世界/10月
●おどる光，遊ぶかげ/12月
●見つけたことを話してみよう/1月
●写して見つけたわたしの世界/2月
●わたしはデザイナー　12さいの力で/伝え方をたのしもう/3月</t>
  </si>
  <si>
    <t>●感じたままに花/わたしのお気に入りの場所/4月
●クローズアップで見える新世界/10月
●おどる光，遊ぶかげ/12月</t>
  </si>
  <si>
    <t>●おどる光，遊ぶかげ/12月
●見つけたことを話してみよう/1月
●写して見つけたわたしの世界/2月</t>
  </si>
  <si>
    <t>●まかせてね今日の食事/11月</t>
  </si>
  <si>
    <t>●あなたは家庭や地域の宝物/3月</t>
  </si>
  <si>
    <t>●まかせてね今日の食事/11月</t>
  </si>
  <si>
    <t xml:space="preserve">●私の仕事と生活時間/４月
●まかせてね今日の食事/11月
●あなたは家庭や地域の宝物/3月
</t>
  </si>
  <si>
    <t xml:space="preserve">●夏をすずしくさわやかに/６月
●まかせてね今日の食事/１１月
●あなたは家庭や地域の宝物/3月
</t>
  </si>
  <si>
    <t xml:space="preserve">●夏をすずしくさわやかに/６月
●まかせてね今日の食事/11月
●冬を明るく暖かく/1月
</t>
  </si>
  <si>
    <t>●わたしの生活時間/4月
●いためてつくろう　朝食のおかず/4月
●クリーン大作戦/5月
●暑い季節を快適に/6月
●くふうしようおいしい食事/11月
●共に生きる生活/1月</t>
  </si>
  <si>
    <t>●共に生きる生活/1月</t>
  </si>
  <si>
    <t>●共に生きる生活/1月</t>
  </si>
  <si>
    <t>●わたしの生活時間/4月
●くふうしようおいしい食事/11月</t>
  </si>
  <si>
    <t>●クリーン大作戦/5月
●暑い季節を快適に/6月
●共に生きる生活/1月</t>
  </si>
  <si>
    <t xml:space="preserve">●病気の予防/6月
●病気の予防/9月
</t>
  </si>
  <si>
    <t>●病気の予防/6月
●病気の予防/2月</t>
  </si>
  <si>
    <t xml:space="preserve">●病気の予防/6月
●病気の予防/2月
</t>
  </si>
  <si>
    <t xml:space="preserve">●病気の予防/6月
●病気の予防/9月
</t>
  </si>
  <si>
    <t xml:space="preserve">●病気の予防/6月
●病気の予防/2月
</t>
  </si>
  <si>
    <t xml:space="preserve">●病気の予防/6月
●病気の予防/9月
</t>
  </si>
  <si>
    <t>●病気の予防/6月
●病気の予防/9月
　　</t>
  </si>
  <si>
    <t xml:space="preserve">●私の仕事と生活時間/４月
●朝食から健康な1日の生活を/4月
●夏をすずしくさわやかに/６月
●冬を明るく暖かく/1月
</t>
  </si>
  <si>
    <t>●いためてつくろう　朝食のおかず/4月
●クリーン大作戦/5月
●暑い季節を快適に/６月
●楽しく　ソーイング/9月</t>
  </si>
  <si>
    <t xml:space="preserve">●私の仕事と生活時間/4月
●朝食から健康な1日の生活を/4月
●夏をすずしくさわやかに/６月
●思いを形に　生活に役立つ布製品/9月
●まかせてね今日の食事/11月
●冬を明るく暖かく/1月
</t>
  </si>
  <si>
    <t>Ａ 善悪の判断，自律，自由と責任</t>
  </si>
  <si>
    <t>Ａ 正直，誠実</t>
  </si>
  <si>
    <t>Ａ 節度，節制</t>
  </si>
  <si>
    <t>Ａ 個性の伸長</t>
  </si>
  <si>
    <t>Ａ 希望と勇気，努力と強い意志</t>
  </si>
  <si>
    <t>Ａ 真理の探究</t>
  </si>
  <si>
    <t>Ｂ 親切，思いやり</t>
  </si>
  <si>
    <t>Ｂ 感謝</t>
  </si>
  <si>
    <t>Ｂ 礼儀</t>
  </si>
  <si>
    <t>Ｂ 友情，信頼</t>
  </si>
  <si>
    <t>Ｂ 相互理解，寛容</t>
  </si>
  <si>
    <t>Ｃ 規則の尊重</t>
  </si>
  <si>
    <t>Ｃ 公正，公平，社会正義</t>
  </si>
  <si>
    <t>Ｃ 勤労，公共の精神</t>
  </si>
  <si>
    <t>Ｃ 家族愛，家庭生活の充実</t>
  </si>
  <si>
    <t>Ｃ よりよい学校生活，集団生活の充実</t>
  </si>
  <si>
    <t>Ｃ 伝統と文化の尊重，国や郷土を愛する態度</t>
  </si>
  <si>
    <t>Ｃ 国際理解，国際親善</t>
  </si>
  <si>
    <t>Ｄ 生命の尊さ</t>
  </si>
  <si>
    <t>Ｄ 自然愛護</t>
  </si>
  <si>
    <t>Ｄ 感動，畏敬の念</t>
  </si>
  <si>
    <t>Ｄ よりよく生きる喜び</t>
  </si>
  <si>
    <t>●大空に飛び立つ鳥/2月</t>
  </si>
  <si>
    <t>●本屋のお姉さん/5月
●誠実な人 ―吉田松陰―/9月</t>
  </si>
  <si>
    <t>●本当にだいじょうぶ？/10月</t>
  </si>
  <si>
    <t>●勇太への宿題/4月
●めざせ，百八十回！/1月</t>
  </si>
  <si>
    <t>●夢に向かって ―三浦雄一郎―/5月
●鑑真和上/5月</t>
  </si>
  <si>
    <t>●技術で「障がい」をなくしたい ―遠藤 謙―/6月
●きみの声が聞きたい/10月</t>
  </si>
  <si>
    <t>●命のおにぎり/12月
●最後のひと葉/1月</t>
  </si>
  <si>
    <t>●松井さんのえがお/9月</t>
  </si>
  <si>
    <t xml:space="preserve">●温かいおまんじゅう/4月
</t>
  </si>
  <si>
    <t>●「マナーからルールへ，そしてマナーへ」/6月
●いらなくなったきまり/7月</t>
  </si>
  <si>
    <t>●六千人の命を救った決断 ―杉原千畝―/11月
●森川君のうわさ/12月</t>
  </si>
  <si>
    <t>●かっこいいお父さん/6月</t>
  </si>
  <si>
    <t xml:space="preserve">●一年生のお世話係 ―アフター・ユー―/4月
</t>
  </si>
  <si>
    <t>●フーバーさん/11月</t>
  </si>
  <si>
    <t>●自然のゆりかご/7月
●地球があぶない/9月</t>
  </si>
  <si>
    <t>●青の洞門/3月</t>
  </si>
  <si>
    <t>●すあしにサンダルの天使 ―マザー・テレサ―/11月
●わたしは ひろがる/3月</t>
  </si>
  <si>
    <t>●陽子，ドンマイ！/5月
●友のしょうぞう画/付録</t>
  </si>
  <si>
    <t>●ブランコ乗りとピエロ/9月
●あやまってすむことじゃない/付録</t>
  </si>
  <si>
    <t>●世界がおどろく七分間清掃/6月
●花びんのある駅/付録</t>
  </si>
  <si>
    <t>●お茶の心/10月
●いちばん近い自然「里山」/10月
●これが日本/11月
●町おこしプラン/付録</t>
  </si>
  <si>
    <t>●生命のメッセージ/2月
●命と向き合う人生/2月
●負けないで/2月
●羽ばたけ，折り鶴/付録</t>
  </si>
  <si>
    <t>大日本図書</t>
  </si>
  <si>
    <t>●短距離走・リレー/4月
●マット運動/5月
●ソフトボール（ベースボール型）/6月
●水泳/7月
●フラッグフットボール（ゴール型）/10月
●体力を高める運動/10月
●走り高とび/10月
●体力を高める運動＋走跳の２種競技（ハードル走・走り幅とび）/11月
●鉄棒運動/12月
●とび箱運動/1月
●サッカー（ゴール型）/2月</t>
  </si>
  <si>
    <t xml:space="preserve">●体ほぐしの運動/4月
●短距離走・リレー/4月
●マット運動/5月
●ソフトボール（ベースボール型）/6月
●水泳/7月
●フラッグフットボール（ゴール型）/10月
●体力を高める運動/10月
●走り高とび/10月
●体力を高める運動＋走跳の２種競技（ハードル走・走り幅とび）/11月
●鉄棒運動/12月
●とび箱運動/1月
●サッカー（ゴール型）/2月
</t>
  </si>
  <si>
    <t>●フォークダンス（世界の踊り）/12月</t>
  </si>
  <si>
    <t>●リズムダンス＋○月○日私のダイアリー（表現）/9月</t>
  </si>
  <si>
    <t>６年　全体計画例別葉（教科領域等と道徳との関連計画表）【内容項目別】　　 2018年～2019年</t>
  </si>
  <si>
    <t>６年　全体計画例別葉（教科領域等と道徳との関連計画表）【内容項目別】　　 2018年～2019年</t>
  </si>
  <si>
    <t>三省堂</t>
  </si>
  <si>
    <t>日本文教出版</t>
  </si>
  <si>
    <t>教育芸術社</t>
  </si>
  <si>
    <t>図画工作</t>
  </si>
  <si>
    <t>開隆堂</t>
  </si>
  <si>
    <t>光文書院</t>
  </si>
  <si>
    <t>学研教育みらい</t>
  </si>
  <si>
    <t>教科書会社名一覧　※削除しないようご注意ください。</t>
  </si>
  <si>
    <t>■ 全体計画例別葉（教科領域等と道徳との関連計画表）　ご利用の留意点</t>
  </si>
  <si>
    <t>【Microsoft Excel 2003以降のバージョンをお使いの場合】</t>
  </si>
  <si>
    <t>・各教科の教科書会社のセルを選択するとプルダウンで教科書会社名が表示されますので，</t>
  </si>
  <si>
    <t>　お使いの教科書会社をお選びください。単元名が自動で切り替わります。</t>
  </si>
  <si>
    <t>【Microsoft Excel 2003より前のバージョンをお使いの場合】</t>
  </si>
  <si>
    <t>・各教科の教科書会社のセルにお使いの教科書会社名をご入力ください。</t>
  </si>
  <si>
    <t>　教科書会社名は以下の通りです。</t>
  </si>
  <si>
    <t>＜国語＞</t>
  </si>
  <si>
    <t>＜社会＞</t>
  </si>
  <si>
    <t>＜算数＞</t>
  </si>
  <si>
    <t>＜生活＞</t>
  </si>
  <si>
    <t>＜理科＞</t>
  </si>
  <si>
    <t>＜音楽＞</t>
  </si>
  <si>
    <t>＜図画工作＞</t>
  </si>
  <si>
    <t>＜家庭＞</t>
  </si>
  <si>
    <t>＜保健＞</t>
  </si>
  <si>
    <t>東京書籍</t>
  </si>
  <si>
    <t>東京書籍</t>
  </si>
  <si>
    <t>教育芸術社</t>
  </si>
  <si>
    <t>日本文教出版</t>
  </si>
  <si>
    <t>光文書院</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</si>
</sst>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58">
    <font>
      <sz val="11"/>
      <color theme="1"/>
      <name val="Calibri"/>
      <family val="3"/>
    </font>
    <font>
      <sz val="11"/>
      <color indexed="8"/>
      <name val="ＭＳ Ｐゴシック"/>
      <family val="3"/>
    </font>
    <font>
      <sz val="6"/>
      <name val="ＭＳ Ｐゴシック"/>
      <family val="3"/>
    </font>
    <font>
      <sz val="12"/>
      <color indexed="8"/>
      <name val="ＭＳ ゴシック"/>
      <family val="3"/>
    </font>
    <font>
      <sz val="6"/>
      <name val="ヒラギノ角ゴ ProN W3"/>
      <family val="3"/>
    </font>
    <font>
      <sz val="8"/>
      <name val="ＭＳ ゴシック"/>
      <family val="3"/>
    </font>
    <font>
      <sz val="7"/>
      <name val="ＭＳ Ｐ明朝"/>
      <family val="1"/>
    </font>
    <font>
      <sz val="6"/>
      <name val="ＭＳ Ｐ明朝"/>
      <family val="1"/>
    </font>
    <font>
      <sz val="7"/>
      <name val="ＭＳ ゴシック"/>
      <family val="3"/>
    </font>
    <font>
      <sz val="6"/>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Ｐゴシック"/>
      <family val="3"/>
    </font>
    <font>
      <sz val="11"/>
      <color indexed="17"/>
      <name val="ＭＳ Ｐゴシック"/>
      <family val="3"/>
    </font>
    <font>
      <b/>
      <sz val="6"/>
      <name val="ＭＳ Ｐ明朝"/>
      <family val="1"/>
    </font>
    <font>
      <sz val="11"/>
      <name val="ＭＳ ゴシック"/>
      <family val="3"/>
    </font>
    <font>
      <sz val="12"/>
      <name val="ＭＳ ゴシック"/>
      <family val="3"/>
    </font>
    <font>
      <sz val="9"/>
      <name val="ＭＳ 明朝"/>
      <family val="1"/>
    </font>
    <font>
      <sz val="8"/>
      <name val="ＭＳ 明朝"/>
      <family val="1"/>
    </font>
    <font>
      <sz val="11"/>
      <color indexed="8"/>
      <name val="ＭＳ ゴシック"/>
      <family val="3"/>
    </font>
    <font>
      <b/>
      <sz val="11"/>
      <name val="ＭＳ Ｐゴシック"/>
      <family val="3"/>
    </font>
    <font>
      <sz val="6"/>
      <name val="游ゴシック"/>
      <family val="3"/>
    </font>
    <font>
      <sz val="11"/>
      <color indexed="8"/>
      <name val="游ゴシック"/>
      <family val="3"/>
    </font>
    <font>
      <sz val="18"/>
      <color indexed="56"/>
      <name val="ＭＳ Ｐゴシック"/>
      <family val="3"/>
    </font>
    <font>
      <sz val="7"/>
      <color indexed="8"/>
      <name val="ＭＳ 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1"/>
      <name val="Cambria"/>
      <family val="3"/>
    </font>
    <font>
      <sz val="11"/>
      <color theme="1"/>
      <name val="ＭＳ ゴシック"/>
      <family val="3"/>
    </font>
    <font>
      <sz val="7"/>
      <color theme="1"/>
      <name val="ＭＳ ゴシック"/>
      <family val="3"/>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style="thin"/>
      <top style="hair"/>
      <bottom style="hair"/>
    </border>
    <border>
      <left style="thin"/>
      <right style="thin"/>
      <top style="hair"/>
      <bottom style="hair"/>
    </border>
    <border>
      <left style="double"/>
      <right style="thin"/>
      <top style="hair"/>
      <bottom style="hair"/>
    </border>
    <border>
      <left style="hair"/>
      <right style="hair"/>
      <top style="hair"/>
      <bottom style="hair"/>
    </border>
    <border>
      <left style="hair"/>
      <right style="double"/>
      <top style="hair"/>
      <bottom style="hair"/>
    </border>
    <border>
      <left/>
      <right style="thin"/>
      <top/>
      <bottom style="hair"/>
    </border>
    <border>
      <left style="thin"/>
      <right style="thin"/>
      <top/>
      <bottom style="hair"/>
    </border>
    <border>
      <left style="double"/>
      <right style="thin"/>
      <top/>
      <bottom style="hair"/>
    </border>
    <border>
      <left style="hair"/>
      <right style="double"/>
      <top/>
      <bottom style="hair"/>
    </border>
    <border>
      <left/>
      <right style="hair"/>
      <top/>
      <bottom style="hair"/>
    </border>
    <border>
      <left/>
      <right style="hair"/>
      <top style="hair"/>
      <bottom style="hair"/>
    </border>
    <border>
      <left style="double"/>
      <right style="hair"/>
      <top style="hair"/>
      <bottom style="hair"/>
    </border>
    <border>
      <left style="hair"/>
      <right style="thin"/>
      <top style="hair"/>
      <bottom style="hair"/>
    </border>
    <border>
      <left style="thin"/>
      <right style="thin"/>
      <top style="hair"/>
      <bottom/>
    </border>
    <border>
      <left style="double"/>
      <right style="hair"/>
      <top style="hair"/>
      <bottom/>
    </border>
    <border>
      <left style="hair"/>
      <right style="hair"/>
      <top style="hair"/>
      <bottom/>
    </border>
    <border>
      <left style="hair"/>
      <right style="thin"/>
      <top style="hair"/>
      <bottom/>
    </border>
    <border>
      <left/>
      <right style="hair"/>
      <top style="hair"/>
      <bottom/>
    </border>
    <border>
      <left style="hair"/>
      <right style="double"/>
      <top style="hair"/>
      <bottom/>
    </border>
    <border>
      <left/>
      <right style="hair"/>
      <top/>
      <bottom style="thin"/>
    </border>
    <border>
      <left style="hair"/>
      <right style="double"/>
      <top/>
      <bottom style="thin"/>
    </border>
    <border>
      <left style="hair"/>
      <right style="hair"/>
      <top/>
      <bottom style="thin"/>
    </border>
    <border>
      <left style="double"/>
      <right style="thin"/>
      <top/>
      <bottom style="thin"/>
    </border>
    <border>
      <left style="thin"/>
      <right style="thin"/>
      <top/>
      <bottom style="thin"/>
    </border>
    <border>
      <left/>
      <right style="thin"/>
      <top/>
      <bottom style="thin"/>
    </border>
    <border>
      <left style="hair"/>
      <right style="thin"/>
      <top/>
      <bottom style="thin"/>
    </border>
    <border>
      <left style="hair"/>
      <right/>
      <top style="hair"/>
      <bottom style="hair"/>
    </border>
    <border>
      <left style="double"/>
      <right style="hair"/>
      <top/>
      <bottom style="thin"/>
    </border>
    <border>
      <left style="hair"/>
      <right style="hair"/>
      <top/>
      <bottom style="hair"/>
    </border>
    <border>
      <left style="double"/>
      <right style="hair"/>
      <top style="hair"/>
      <bottom style="thin"/>
    </border>
    <border>
      <left style="hair"/>
      <right style="hair"/>
      <top style="hair"/>
      <bottom style="thin"/>
    </border>
    <border>
      <left style="hair"/>
      <right style="double"/>
      <top style="hair"/>
      <bottom style="thin"/>
    </border>
    <border>
      <left/>
      <right/>
      <top/>
      <bottom style="thin"/>
    </border>
    <border>
      <left style="thin"/>
      <right style="double"/>
      <top style="thin"/>
      <bottom/>
    </border>
    <border>
      <left style="thin"/>
      <right style="double"/>
      <top style="hair"/>
      <bottom style="hair"/>
    </border>
    <border>
      <left style="thin"/>
      <right style="double"/>
      <top/>
      <bottom style="hair"/>
    </border>
    <border>
      <left style="thin"/>
      <right style="double"/>
      <top style="hair"/>
      <bottom/>
    </border>
    <border>
      <left style="thin"/>
      <right style="double"/>
      <top/>
      <bottom style="thin"/>
    </border>
    <border>
      <left style="thin"/>
      <right style="dotted"/>
      <top style="thin"/>
      <bottom>
        <color indexed="63"/>
      </bottom>
    </border>
    <border>
      <left style="dotted"/>
      <right style="thin"/>
      <top style="thin"/>
      <bottom>
        <color indexed="63"/>
      </bottom>
    </border>
    <border>
      <left style="thin"/>
      <right style="dotted"/>
      <top>
        <color indexed="63"/>
      </top>
      <bottom style="thin"/>
    </border>
    <border>
      <left style="dotted"/>
      <right style="thin"/>
      <top>
        <color indexed="63"/>
      </top>
      <bottom style="thin"/>
    </border>
    <border>
      <left style="thin"/>
      <right style="dotted"/>
      <top style="dotted"/>
      <bottom style="dotted"/>
    </border>
    <border>
      <left style="dotted"/>
      <right style="thin"/>
      <top style="dotted"/>
      <bottom style="dotted"/>
    </border>
    <border>
      <left style="thin"/>
      <right style="thin"/>
      <top style="thin"/>
      <bottom/>
    </border>
    <border>
      <left style="thin"/>
      <right/>
      <top style="thin"/>
      <bottom/>
    </border>
    <border>
      <left>
        <color indexed="63"/>
      </left>
      <right style="thin"/>
      <top style="thin"/>
      <bottom/>
    </border>
    <border>
      <left style="thin"/>
      <right style="thin"/>
      <top/>
      <bottom/>
    </border>
    <border>
      <left style="thin"/>
      <right/>
      <top/>
      <bottom/>
    </border>
    <border>
      <left>
        <color indexed="63"/>
      </left>
      <right style="thin"/>
      <top/>
      <bottom/>
    </border>
    <border>
      <left style="thin"/>
      <right/>
      <top/>
      <bottom style="thin"/>
    </border>
    <border>
      <left style="thin"/>
      <right/>
      <top style="thin"/>
      <bottom style="thin"/>
    </border>
    <border>
      <left/>
      <right/>
      <top style="thin"/>
      <bottom style="thin"/>
    </border>
    <border>
      <left/>
      <right style="thin"/>
      <top style="thin"/>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style="thin"/>
      <right/>
      <top style="hair"/>
      <bottom style="thin"/>
    </border>
    <border>
      <left/>
      <right/>
      <top style="hair"/>
      <bottom style="thin"/>
    </border>
    <border>
      <left/>
      <right style="thin"/>
      <top style="hair"/>
      <bottom style="thin"/>
    </border>
    <border>
      <left style="double"/>
      <right style="thin"/>
      <top style="thin"/>
      <bottom/>
    </border>
    <border>
      <left style="double"/>
      <right style="thin"/>
      <top/>
      <bottom/>
    </border>
    <border>
      <left style="double"/>
      <right/>
      <top style="thin"/>
      <bottom style="hair"/>
    </border>
    <border>
      <left/>
      <right style="double"/>
      <top style="thin"/>
      <bottom style="hair"/>
    </border>
    <border diagonalDown="1">
      <left style="thin"/>
      <right style="thin"/>
      <top style="thin"/>
      <bottom/>
      <diagonal style="thin"/>
    </border>
    <border diagonalDown="1">
      <left style="thin"/>
      <right style="thin"/>
      <top/>
      <bottom/>
      <diagonal style="thin"/>
    </border>
    <border diagonalDown="1">
      <left style="thin"/>
      <right style="thin"/>
      <top/>
      <bottom style="thin"/>
      <diagonal style="thin"/>
    </border>
    <border>
      <left/>
      <right style="hair"/>
      <top/>
      <bottom/>
    </border>
    <border>
      <left style="double"/>
      <right/>
      <top style="hair"/>
      <bottom style="hair"/>
    </border>
  </borders>
  <cellStyleXfs count="10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8" fillId="24" borderId="0" applyNumberFormat="0" applyBorder="0" applyAlignment="0" applyProtection="0"/>
    <xf numFmtId="0" fontId="10" fillId="25" borderId="0" applyNumberFormat="0" applyBorder="0" applyAlignment="0" applyProtection="0"/>
    <xf numFmtId="0" fontId="38" fillId="26" borderId="0" applyNumberFormat="0" applyBorder="0" applyAlignment="0" applyProtection="0"/>
    <xf numFmtId="0" fontId="10" fillId="17" borderId="0" applyNumberFormat="0" applyBorder="0" applyAlignment="0" applyProtection="0"/>
    <xf numFmtId="0" fontId="38" fillId="27" borderId="0" applyNumberFormat="0" applyBorder="0" applyAlignment="0" applyProtection="0"/>
    <xf numFmtId="0" fontId="10" fillId="19" borderId="0" applyNumberFormat="0" applyBorder="0" applyAlignment="0" applyProtection="0"/>
    <xf numFmtId="0" fontId="38" fillId="28" borderId="0" applyNumberFormat="0" applyBorder="0" applyAlignment="0" applyProtection="0"/>
    <xf numFmtId="0" fontId="10" fillId="29" borderId="0" applyNumberFormat="0" applyBorder="0" applyAlignment="0" applyProtection="0"/>
    <xf numFmtId="0" fontId="38" fillId="30" borderId="0" applyNumberFormat="0" applyBorder="0" applyAlignment="0" applyProtection="0"/>
    <xf numFmtId="0" fontId="10" fillId="31" borderId="0" applyNumberFormat="0" applyBorder="0" applyAlignment="0" applyProtection="0"/>
    <xf numFmtId="0" fontId="38" fillId="32" borderId="0" applyNumberFormat="0" applyBorder="0" applyAlignment="0" applyProtection="0"/>
    <xf numFmtId="0" fontId="10" fillId="33" borderId="0" applyNumberFormat="0" applyBorder="0" applyAlignment="0" applyProtection="0"/>
    <xf numFmtId="0" fontId="38" fillId="34" borderId="0" applyNumberFormat="0" applyBorder="0" applyAlignment="0" applyProtection="0"/>
    <xf numFmtId="0" fontId="10" fillId="35" borderId="0" applyNumberFormat="0" applyBorder="0" applyAlignment="0" applyProtection="0"/>
    <xf numFmtId="0" fontId="38" fillId="36" borderId="0" applyNumberFormat="0" applyBorder="0" applyAlignment="0" applyProtection="0"/>
    <xf numFmtId="0" fontId="10" fillId="37" borderId="0" applyNumberFormat="0" applyBorder="0" applyAlignment="0" applyProtection="0"/>
    <xf numFmtId="0" fontId="38" fillId="38" borderId="0" applyNumberFormat="0" applyBorder="0" applyAlignment="0" applyProtection="0"/>
    <xf numFmtId="0" fontId="10" fillId="39" borderId="0" applyNumberFormat="0" applyBorder="0" applyAlignment="0" applyProtection="0"/>
    <xf numFmtId="0" fontId="38" fillId="40" borderId="0" applyNumberFormat="0" applyBorder="0" applyAlignment="0" applyProtection="0"/>
    <xf numFmtId="0" fontId="10" fillId="29" borderId="0" applyNumberFormat="0" applyBorder="0" applyAlignment="0" applyProtection="0"/>
    <xf numFmtId="0" fontId="38" fillId="41" borderId="0" applyNumberFormat="0" applyBorder="0" applyAlignment="0" applyProtection="0"/>
    <xf numFmtId="0" fontId="10" fillId="31" borderId="0" applyNumberFormat="0" applyBorder="0" applyAlignment="0" applyProtection="0"/>
    <xf numFmtId="0" fontId="38" fillId="42" borderId="0" applyNumberFormat="0" applyBorder="0" applyAlignment="0" applyProtection="0"/>
    <xf numFmtId="0" fontId="10" fillId="43" borderId="0" applyNumberFormat="0" applyBorder="0" applyAlignment="0" applyProtection="0"/>
    <xf numFmtId="0" fontId="39" fillId="0" borderId="0" applyNumberFormat="0" applyFill="0" applyBorder="0" applyAlignment="0" applyProtection="0"/>
    <xf numFmtId="0" fontId="11" fillId="0" borderId="0" applyNumberFormat="0" applyFill="0" applyBorder="0" applyAlignment="0" applyProtection="0"/>
    <xf numFmtId="0" fontId="40" fillId="44" borderId="1" applyNumberFormat="0" applyAlignment="0" applyProtection="0"/>
    <xf numFmtId="0" fontId="12" fillId="45" borderId="2" applyNumberFormat="0" applyAlignment="0" applyProtection="0"/>
    <xf numFmtId="0" fontId="41" fillId="46" borderId="0" applyNumberFormat="0" applyBorder="0" applyAlignment="0" applyProtection="0"/>
    <xf numFmtId="0" fontId="13" fillId="47" borderId="0" applyNumberFormat="0" applyBorder="0" applyAlignment="0" applyProtection="0"/>
    <xf numFmtId="9" fontId="0" fillId="0" borderId="0" applyFont="0" applyFill="0" applyBorder="0" applyAlignment="0" applyProtection="0"/>
    <xf numFmtId="0" fontId="0" fillId="48" borderId="3" applyNumberFormat="0" applyFont="0" applyAlignment="0" applyProtection="0"/>
    <xf numFmtId="0" fontId="1" fillId="49" borderId="4" applyNumberFormat="0" applyFont="0" applyAlignment="0" applyProtection="0"/>
    <xf numFmtId="0" fontId="42" fillId="0" borderId="5" applyNumberFormat="0" applyFill="0" applyAlignment="0" applyProtection="0"/>
    <xf numFmtId="0" fontId="14" fillId="0" borderId="6" applyNumberFormat="0" applyFill="0" applyAlignment="0" applyProtection="0"/>
    <xf numFmtId="0" fontId="43" fillId="50" borderId="0" applyNumberFormat="0" applyBorder="0" applyAlignment="0" applyProtection="0"/>
    <xf numFmtId="0" fontId="15" fillId="5" borderId="0" applyNumberFormat="0" applyBorder="0" applyAlignment="0" applyProtection="0"/>
    <xf numFmtId="0" fontId="44" fillId="51" borderId="7" applyNumberFormat="0" applyAlignment="0" applyProtection="0"/>
    <xf numFmtId="0" fontId="16" fillId="52" borderId="8" applyNumberFormat="0" applyAlignment="0" applyProtection="0"/>
    <xf numFmtId="0" fontId="45" fillId="0" borderId="0" applyNumberFormat="0" applyFill="0" applyBorder="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9" applyNumberFormat="0" applyFill="0" applyAlignment="0" applyProtection="0"/>
    <xf numFmtId="0" fontId="18" fillId="0" borderId="10" applyNumberFormat="0" applyFill="0" applyAlignment="0" applyProtection="0"/>
    <xf numFmtId="0" fontId="47" fillId="0" borderId="11" applyNumberFormat="0" applyFill="0" applyAlignment="0" applyProtection="0"/>
    <xf numFmtId="0" fontId="19" fillId="0" borderId="12" applyNumberFormat="0" applyFill="0" applyAlignment="0" applyProtection="0"/>
    <xf numFmtId="0" fontId="48" fillId="0" borderId="13" applyNumberFormat="0" applyFill="0" applyAlignment="0" applyProtection="0"/>
    <xf numFmtId="0" fontId="20" fillId="0" borderId="14" applyNumberFormat="0" applyFill="0" applyAlignment="0" applyProtection="0"/>
    <xf numFmtId="0" fontId="48" fillId="0" borderId="0" applyNumberFormat="0" applyFill="0" applyBorder="0" applyAlignment="0" applyProtection="0"/>
    <xf numFmtId="0" fontId="20" fillId="0" borderId="0" applyNumberFormat="0" applyFill="0" applyBorder="0" applyAlignment="0" applyProtection="0"/>
    <xf numFmtId="0" fontId="49" fillId="0" borderId="15" applyNumberFormat="0" applyFill="0" applyAlignment="0" applyProtection="0"/>
    <xf numFmtId="0" fontId="21" fillId="0" borderId="16" applyNumberFormat="0" applyFill="0" applyAlignment="0" applyProtection="0"/>
    <xf numFmtId="0" fontId="50" fillId="51" borderId="17" applyNumberFormat="0" applyAlignment="0" applyProtection="0"/>
    <xf numFmtId="0" fontId="22" fillId="52" borderId="18" applyNumberFormat="0" applyAlignment="0" applyProtection="0"/>
    <xf numFmtId="0" fontId="51" fillId="0" borderId="0" applyNumberFormat="0" applyFill="0" applyBorder="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53" borderId="7" applyNumberFormat="0" applyAlignment="0" applyProtection="0"/>
    <xf numFmtId="0" fontId="24" fillId="13" borderId="8" applyNumberFormat="0" applyAlignment="0" applyProtection="0"/>
    <xf numFmtId="0" fontId="25" fillId="0" borderId="0">
      <alignment/>
      <protection/>
    </xf>
    <xf numFmtId="0" fontId="0" fillId="0" borderId="0">
      <alignment vertical="center"/>
      <protection/>
    </xf>
    <xf numFmtId="0" fontId="53" fillId="54" borderId="0" applyNumberFormat="0" applyBorder="0" applyAlignment="0" applyProtection="0"/>
    <xf numFmtId="0" fontId="26" fillId="7" borderId="0" applyNumberFormat="0" applyBorder="0" applyAlignment="0" applyProtection="0"/>
  </cellStyleXfs>
  <cellXfs count="140">
    <xf numFmtId="0" fontId="0" fillId="0" borderId="0" xfId="0" applyFont="1" applyAlignment="1">
      <alignment vertical="center"/>
    </xf>
    <xf numFmtId="0" fontId="6" fillId="0" borderId="0" xfId="0" applyFont="1" applyAlignment="1">
      <alignment vertical="center" wrapText="1"/>
    </xf>
    <xf numFmtId="0" fontId="7" fillId="0" borderId="19" xfId="0" applyFont="1" applyBorder="1" applyAlignment="1" applyProtection="1">
      <alignment horizontal="left" vertical="top" wrapText="1"/>
      <protection locked="0"/>
    </xf>
    <xf numFmtId="0" fontId="7" fillId="0" borderId="20" xfId="0" applyFont="1" applyBorder="1" applyAlignment="1" applyProtection="1">
      <alignment horizontal="left" vertical="top" wrapText="1"/>
      <protection locked="0"/>
    </xf>
    <xf numFmtId="0" fontId="7" fillId="0" borderId="21" xfId="0" applyFont="1" applyBorder="1" applyAlignment="1" applyProtection="1">
      <alignment horizontal="left" vertical="top" wrapText="1"/>
      <protection locked="0"/>
    </xf>
    <xf numFmtId="0" fontId="7" fillId="0" borderId="22" xfId="0" applyFont="1" applyFill="1" applyBorder="1" applyAlignment="1" applyProtection="1">
      <alignment horizontal="left" vertical="top" wrapText="1"/>
      <protection locked="0"/>
    </xf>
    <xf numFmtId="0" fontId="7" fillId="0" borderId="22" xfId="0" applyFont="1" applyBorder="1" applyAlignment="1" applyProtection="1">
      <alignment horizontal="left" vertical="top" wrapText="1"/>
      <protection/>
    </xf>
    <xf numFmtId="0" fontId="7" fillId="0" borderId="22" xfId="0" applyFont="1" applyBorder="1" applyAlignment="1" applyProtection="1">
      <alignment vertical="top" wrapText="1"/>
      <protection/>
    </xf>
    <xf numFmtId="0" fontId="7" fillId="0" borderId="23" xfId="0" applyFont="1" applyBorder="1" applyAlignment="1" applyProtection="1">
      <alignment vertical="top" wrapText="1"/>
      <protection locked="0"/>
    </xf>
    <xf numFmtId="0" fontId="8" fillId="0" borderId="20" xfId="0" applyFont="1" applyBorder="1" applyAlignment="1">
      <alignment vertical="center" wrapText="1"/>
    </xf>
    <xf numFmtId="0" fontId="7" fillId="0" borderId="24" xfId="0" applyFont="1" applyBorder="1" applyAlignment="1" applyProtection="1">
      <alignment horizontal="left" vertical="top" wrapText="1"/>
      <protection locked="0"/>
    </xf>
    <xf numFmtId="0" fontId="7" fillId="0" borderId="25" xfId="0" applyFont="1" applyBorder="1" applyAlignment="1" applyProtection="1">
      <alignment horizontal="left" vertical="top" wrapText="1"/>
      <protection locked="0"/>
    </xf>
    <xf numFmtId="0" fontId="7" fillId="0" borderId="26" xfId="0" applyFont="1" applyBorder="1" applyAlignment="1" applyProtection="1">
      <alignment horizontal="left" vertical="top" wrapText="1"/>
      <protection locked="0"/>
    </xf>
    <xf numFmtId="0" fontId="7" fillId="0" borderId="27" xfId="0" applyFont="1" applyBorder="1" applyAlignment="1" applyProtection="1">
      <alignment vertical="top" wrapText="1"/>
      <protection locked="0"/>
    </xf>
    <xf numFmtId="0" fontId="8" fillId="0" borderId="25" xfId="0" applyFont="1" applyBorder="1" applyAlignment="1">
      <alignment vertical="center" wrapText="1"/>
    </xf>
    <xf numFmtId="0" fontId="6" fillId="0" borderId="0" xfId="0" applyFont="1" applyAlignment="1">
      <alignment horizontal="center" vertical="center" wrapText="1"/>
    </xf>
    <xf numFmtId="0" fontId="8" fillId="0" borderId="22" xfId="0" applyFont="1" applyFill="1" applyBorder="1" applyAlignment="1">
      <alignment horizontal="center" vertical="center" wrapText="1"/>
    </xf>
    <xf numFmtId="0" fontId="7" fillId="0" borderId="28" xfId="0" applyFont="1" applyBorder="1" applyAlignment="1" applyProtection="1">
      <alignment vertical="top" wrapText="1"/>
      <protection locked="0"/>
    </xf>
    <xf numFmtId="0" fontId="7" fillId="0" borderId="29" xfId="0" applyFont="1" applyBorder="1" applyAlignment="1" applyProtection="1">
      <alignment vertical="top" wrapText="1"/>
      <protection locked="0"/>
    </xf>
    <xf numFmtId="0" fontId="7" fillId="0" borderId="30" xfId="0" applyFont="1" applyBorder="1" applyAlignment="1" applyProtection="1">
      <alignment vertical="top" wrapText="1"/>
      <protection locked="0"/>
    </xf>
    <xf numFmtId="0" fontId="7" fillId="0" borderId="22" xfId="0" applyFont="1" applyBorder="1" applyAlignment="1" applyProtection="1">
      <alignment vertical="top" wrapText="1"/>
      <protection locked="0"/>
    </xf>
    <xf numFmtId="176" fontId="7" fillId="0" borderId="22" xfId="0" applyNumberFormat="1" applyFont="1" applyBorder="1" applyAlignment="1" applyProtection="1">
      <alignment vertical="top" wrapText="1"/>
      <protection hidden="1"/>
    </xf>
    <xf numFmtId="176" fontId="7" fillId="0" borderId="22" xfId="0" applyNumberFormat="1" applyFont="1" applyBorder="1" applyAlignment="1" applyProtection="1">
      <alignment horizontal="left" vertical="top" wrapText="1"/>
      <protection hidden="1"/>
    </xf>
    <xf numFmtId="0" fontId="7" fillId="0" borderId="31" xfId="0" applyFont="1" applyFill="1" applyBorder="1" applyAlignment="1" applyProtection="1">
      <alignment horizontal="left" vertical="top" wrapText="1"/>
      <protection locked="0"/>
    </xf>
    <xf numFmtId="0" fontId="8" fillId="0" borderId="32" xfId="0" applyFont="1" applyBorder="1" applyAlignment="1">
      <alignment vertical="center" wrapText="1"/>
    </xf>
    <xf numFmtId="0" fontId="7" fillId="0" borderId="33" xfId="0" applyFont="1" applyBorder="1" applyAlignment="1" applyProtection="1">
      <alignment vertical="top" wrapText="1"/>
      <protection locked="0"/>
    </xf>
    <xf numFmtId="0" fontId="7" fillId="0" borderId="34" xfId="0" applyFont="1" applyBorder="1" applyAlignment="1" applyProtection="1">
      <alignment vertical="top" wrapText="1"/>
      <protection locked="0"/>
    </xf>
    <xf numFmtId="0" fontId="7" fillId="0" borderId="34" xfId="0" applyFont="1" applyBorder="1" applyAlignment="1" applyProtection="1">
      <alignment vertical="top" wrapText="1"/>
      <protection/>
    </xf>
    <xf numFmtId="0" fontId="7" fillId="0" borderId="34" xfId="0" applyFont="1" applyBorder="1" applyAlignment="1" applyProtection="1">
      <alignment horizontal="left" vertical="top" wrapText="1"/>
      <protection/>
    </xf>
    <xf numFmtId="0" fontId="7" fillId="0" borderId="34" xfId="0" applyFont="1" applyFill="1" applyBorder="1" applyAlignment="1" applyProtection="1">
      <alignment horizontal="left" vertical="top" wrapText="1"/>
      <protection locked="0"/>
    </xf>
    <xf numFmtId="0" fontId="7" fillId="0" borderId="35" xfId="0" applyFont="1" applyFill="1" applyBorder="1" applyAlignment="1" applyProtection="1">
      <alignment horizontal="left" vertical="top" wrapText="1"/>
      <protection locked="0"/>
    </xf>
    <xf numFmtId="0" fontId="7" fillId="0" borderId="36" xfId="0" applyFont="1" applyBorder="1" applyAlignment="1" applyProtection="1">
      <alignment vertical="top" wrapText="1"/>
      <protection locked="0"/>
    </xf>
    <xf numFmtId="0" fontId="7" fillId="0" borderId="37" xfId="0" applyFont="1" applyBorder="1" applyAlignment="1" applyProtection="1">
      <alignment vertical="top" wrapText="1"/>
      <protection locked="0"/>
    </xf>
    <xf numFmtId="0" fontId="7" fillId="0" borderId="32" xfId="0" applyFont="1" applyBorder="1" applyAlignment="1" applyProtection="1">
      <alignment horizontal="left" vertical="top" wrapText="1"/>
      <protection locked="0"/>
    </xf>
    <xf numFmtId="176" fontId="27" fillId="0" borderId="22" xfId="0" applyNumberFormat="1" applyFont="1" applyBorder="1" applyAlignment="1" applyProtection="1">
      <alignment vertical="top" wrapText="1"/>
      <protection hidden="1"/>
    </xf>
    <xf numFmtId="0" fontId="8" fillId="0" borderId="31" xfId="0" applyFont="1" applyBorder="1" applyAlignment="1">
      <alignment horizontal="center" vertical="center" wrapText="1"/>
    </xf>
    <xf numFmtId="0" fontId="7" fillId="0" borderId="38" xfId="0" applyFont="1" applyBorder="1" applyAlignment="1" applyProtection="1">
      <alignment vertical="top" wrapText="1"/>
      <protection locked="0"/>
    </xf>
    <xf numFmtId="0" fontId="7" fillId="0" borderId="39" xfId="0" applyFont="1" applyBorder="1" applyAlignment="1" applyProtection="1">
      <alignment vertical="top" wrapText="1"/>
      <protection locked="0"/>
    </xf>
    <xf numFmtId="176" fontId="7" fillId="0" borderId="40" xfId="0" applyNumberFormat="1" applyFont="1" applyBorder="1" applyAlignment="1" applyProtection="1">
      <alignment vertical="top" wrapText="1"/>
      <protection hidden="1"/>
    </xf>
    <xf numFmtId="0" fontId="7" fillId="0" borderId="40" xfId="0" applyFont="1" applyFill="1" applyBorder="1" applyAlignment="1" applyProtection="1">
      <alignment horizontal="left" vertical="top" wrapText="1"/>
      <protection locked="0"/>
    </xf>
    <xf numFmtId="176" fontId="7" fillId="0" borderId="39" xfId="0" applyNumberFormat="1" applyFont="1" applyBorder="1" applyAlignment="1" applyProtection="1">
      <alignment vertical="top" wrapText="1"/>
      <protection hidden="1"/>
    </xf>
    <xf numFmtId="0" fontId="7" fillId="0" borderId="41" xfId="0" applyFont="1" applyBorder="1" applyAlignment="1" applyProtection="1">
      <alignment horizontal="left" vertical="top" wrapText="1"/>
      <protection locked="0"/>
    </xf>
    <xf numFmtId="0" fontId="7" fillId="0" borderId="42" xfId="0" applyFont="1" applyBorder="1" applyAlignment="1" applyProtection="1">
      <alignment horizontal="left" vertical="top" wrapText="1"/>
      <protection locked="0"/>
    </xf>
    <xf numFmtId="0" fontId="7" fillId="0" borderId="43" xfId="0" applyFont="1" applyBorder="1" applyAlignment="1" applyProtection="1">
      <alignment horizontal="left" vertical="top" wrapText="1"/>
      <protection locked="0"/>
    </xf>
    <xf numFmtId="0" fontId="8" fillId="0" borderId="42" xfId="0" applyFont="1" applyBorder="1" applyAlignment="1">
      <alignment vertical="center" wrapText="1"/>
    </xf>
    <xf numFmtId="0" fontId="7" fillId="0" borderId="40" xfId="0" applyFont="1" applyBorder="1" applyAlignment="1" applyProtection="1">
      <alignment vertical="top" wrapText="1"/>
      <protection locked="0"/>
    </xf>
    <xf numFmtId="0" fontId="7" fillId="0" borderId="40" xfId="0" applyFont="1" applyBorder="1" applyAlignment="1" applyProtection="1">
      <alignment vertical="top" wrapText="1"/>
      <protection/>
    </xf>
    <xf numFmtId="0" fontId="7" fillId="0" borderId="40" xfId="0" applyFont="1" applyBorder="1" applyAlignment="1" applyProtection="1">
      <alignment horizontal="left" vertical="top" wrapText="1"/>
      <protection/>
    </xf>
    <xf numFmtId="0" fontId="7" fillId="0" borderId="44" xfId="0" applyFont="1" applyFill="1" applyBorder="1" applyAlignment="1" applyProtection="1">
      <alignment horizontal="left" vertical="top" wrapText="1"/>
      <protection locked="0"/>
    </xf>
    <xf numFmtId="0" fontId="8" fillId="0" borderId="2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29" xfId="0" applyFont="1" applyBorder="1" applyAlignment="1">
      <alignment horizontal="center" vertical="center" wrapText="1"/>
    </xf>
    <xf numFmtId="0" fontId="29" fillId="0" borderId="0" xfId="0" applyFont="1" applyFill="1" applyAlignment="1">
      <alignment vertical="center"/>
    </xf>
    <xf numFmtId="0" fontId="30" fillId="0" borderId="0" xfId="0" applyFont="1" applyFill="1" applyAlignment="1">
      <alignment vertical="center"/>
    </xf>
    <xf numFmtId="0" fontId="30" fillId="0" borderId="0" xfId="0" applyFont="1" applyFill="1" applyAlignment="1">
      <alignment horizontal="center" vertical="center"/>
    </xf>
    <xf numFmtId="0" fontId="31" fillId="0" borderId="0" xfId="0" applyFont="1" applyFill="1" applyAlignment="1">
      <alignment vertical="center"/>
    </xf>
    <xf numFmtId="0" fontId="54" fillId="0" borderId="0" xfId="0" applyFont="1" applyAlignment="1">
      <alignment vertical="center"/>
    </xf>
    <xf numFmtId="0" fontId="31" fillId="0" borderId="0" xfId="0" applyFont="1" applyFill="1" applyAlignment="1">
      <alignment horizontal="center" vertical="center"/>
    </xf>
    <xf numFmtId="0" fontId="30" fillId="0" borderId="0" xfId="0" applyFont="1" applyFill="1" applyAlignment="1">
      <alignment horizontal="center" vertical="center" shrinkToFit="1"/>
    </xf>
    <xf numFmtId="0" fontId="5" fillId="0" borderId="0" xfId="0" applyFont="1" applyFill="1" applyBorder="1" applyAlignment="1">
      <alignment vertical="center"/>
    </xf>
    <xf numFmtId="0" fontId="54" fillId="0" borderId="0" xfId="0" applyFont="1" applyBorder="1" applyAlignment="1">
      <alignment vertical="center"/>
    </xf>
    <xf numFmtId="0" fontId="5" fillId="0" borderId="0" xfId="0" applyFont="1" applyFill="1" applyBorder="1" applyAlignment="1">
      <alignment vertical="center" shrinkToFit="1"/>
    </xf>
    <xf numFmtId="0" fontId="7" fillId="0" borderId="46" xfId="0" applyFont="1" applyBorder="1" applyAlignment="1" applyProtection="1">
      <alignment vertical="top" wrapText="1"/>
      <protection locked="0"/>
    </xf>
    <xf numFmtId="176" fontId="7" fillId="0" borderId="47" xfId="0" applyNumberFormat="1" applyFont="1" applyBorder="1" applyAlignment="1" applyProtection="1">
      <alignment vertical="top" wrapText="1"/>
      <protection hidden="1"/>
    </xf>
    <xf numFmtId="0" fontId="7" fillId="0" borderId="47" xfId="0" applyFont="1" applyFill="1" applyBorder="1" applyAlignment="1" applyProtection="1">
      <alignment horizontal="left" vertical="top" wrapText="1"/>
      <protection locked="0"/>
    </xf>
    <xf numFmtId="0" fontId="8" fillId="0" borderId="48" xfId="0" applyFont="1" applyBorder="1" applyAlignment="1" applyProtection="1">
      <alignment horizontal="center" vertical="center" wrapText="1"/>
      <protection locked="0"/>
    </xf>
    <xf numFmtId="0" fontId="8" fillId="0" borderId="49" xfId="0" applyFont="1" applyBorder="1" applyAlignment="1" applyProtection="1">
      <alignment horizontal="center" vertical="center" wrapText="1"/>
      <protection locked="0"/>
    </xf>
    <xf numFmtId="0" fontId="8" fillId="0" borderId="50" xfId="0" applyFont="1" applyBorder="1" applyAlignment="1" applyProtection="1">
      <alignment horizontal="center" vertical="center" wrapText="1"/>
      <protection locked="0"/>
    </xf>
    <xf numFmtId="0" fontId="28" fillId="0" borderId="51" xfId="0" applyFont="1" applyFill="1" applyBorder="1" applyAlignment="1">
      <alignment vertical="center"/>
    </xf>
    <xf numFmtId="0" fontId="28" fillId="0" borderId="0" xfId="0" applyFont="1" applyFill="1" applyBorder="1" applyAlignment="1">
      <alignment vertical="center"/>
    </xf>
    <xf numFmtId="0" fontId="8" fillId="0" borderId="52" xfId="0" applyFont="1" applyBorder="1" applyAlignment="1">
      <alignment horizontal="center" vertical="center" wrapText="1"/>
    </xf>
    <xf numFmtId="0" fontId="7" fillId="0" borderId="53" xfId="0" applyFont="1" applyBorder="1" applyAlignment="1">
      <alignment vertical="top" wrapText="1"/>
    </xf>
    <xf numFmtId="0" fontId="7" fillId="0" borderId="54" xfId="0" applyFont="1" applyBorder="1" applyAlignment="1">
      <alignment vertical="top" wrapText="1"/>
    </xf>
    <xf numFmtId="0" fontId="7" fillId="0" borderId="55" xfId="0" applyFont="1" applyBorder="1" applyAlignment="1">
      <alignment vertical="top" wrapText="1"/>
    </xf>
    <xf numFmtId="0" fontId="7" fillId="0" borderId="56" xfId="0" applyFont="1" applyBorder="1" applyAlignment="1">
      <alignment vertical="top" wrapText="1"/>
    </xf>
    <xf numFmtId="0" fontId="55" fillId="0" borderId="51" xfId="0" applyFont="1" applyFill="1" applyBorder="1" applyAlignment="1">
      <alignment vertical="center"/>
    </xf>
    <xf numFmtId="0" fontId="30" fillId="0" borderId="57" xfId="0" applyFont="1" applyFill="1" applyBorder="1" applyAlignment="1">
      <alignment horizontal="center" vertical="center" shrinkToFit="1"/>
    </xf>
    <xf numFmtId="0" fontId="30" fillId="0" borderId="58" xfId="0" applyFont="1" applyFill="1" applyBorder="1" applyAlignment="1">
      <alignment vertical="center"/>
    </xf>
    <xf numFmtId="0" fontId="30" fillId="0" borderId="59" xfId="0" applyFont="1" applyFill="1" applyBorder="1" applyAlignment="1">
      <alignment horizontal="center" vertical="center" shrinkToFit="1"/>
    </xf>
    <xf numFmtId="0" fontId="30" fillId="0" borderId="60" xfId="0" applyFont="1" applyFill="1" applyBorder="1" applyAlignment="1">
      <alignment vertical="center"/>
    </xf>
    <xf numFmtId="0" fontId="30" fillId="0" borderId="61" xfId="0" applyFont="1" applyFill="1" applyBorder="1" applyAlignment="1">
      <alignment horizontal="center" vertical="center" shrinkToFit="1"/>
    </xf>
    <xf numFmtId="0" fontId="30" fillId="0" borderId="62" xfId="0" applyFont="1" applyFill="1" applyBorder="1" applyAlignment="1">
      <alignment vertical="center"/>
    </xf>
    <xf numFmtId="0" fontId="33" fillId="0" borderId="0" xfId="0" applyFont="1" applyFill="1" applyBorder="1" applyAlignment="1">
      <alignment vertical="center"/>
    </xf>
    <xf numFmtId="0" fontId="56" fillId="0" borderId="0" xfId="0" applyFont="1" applyAlignment="1">
      <alignment vertical="center"/>
    </xf>
    <xf numFmtId="0" fontId="56" fillId="0" borderId="0" xfId="0" applyFont="1" applyBorder="1" applyAlignment="1">
      <alignment vertical="center"/>
    </xf>
    <xf numFmtId="0" fontId="56" fillId="0" borderId="63" xfId="0" applyFont="1" applyBorder="1" applyAlignment="1">
      <alignment vertical="center"/>
    </xf>
    <xf numFmtId="0" fontId="56" fillId="0" borderId="64" xfId="0" applyFont="1" applyBorder="1" applyAlignment="1">
      <alignment vertical="center"/>
    </xf>
    <xf numFmtId="0" fontId="56" fillId="0" borderId="65" xfId="0" applyFont="1" applyBorder="1" applyAlignment="1">
      <alignment vertical="center"/>
    </xf>
    <xf numFmtId="0" fontId="57" fillId="0" borderId="66" xfId="0" applyFont="1" applyBorder="1" applyAlignment="1">
      <alignment horizontal="center" vertical="center"/>
    </xf>
    <xf numFmtId="0" fontId="57" fillId="0" borderId="67" xfId="0" applyFont="1" applyBorder="1" applyAlignment="1">
      <alignment horizontal="center" vertical="center"/>
    </xf>
    <xf numFmtId="0" fontId="57" fillId="0" borderId="68" xfId="0" applyFont="1" applyBorder="1" applyAlignment="1">
      <alignment horizontal="center" vertical="center"/>
    </xf>
    <xf numFmtId="0" fontId="57" fillId="0" borderId="42" xfId="0" applyFont="1" applyBorder="1" applyAlignment="1">
      <alignment horizontal="center" vertical="center"/>
    </xf>
    <xf numFmtId="0" fontId="57" fillId="0" borderId="69" xfId="0" applyFont="1" applyBorder="1" applyAlignment="1">
      <alignment horizontal="center" vertical="center"/>
    </xf>
    <xf numFmtId="0" fontId="57" fillId="0" borderId="0" xfId="0" applyFont="1" applyAlignment="1">
      <alignment horizontal="center" vertical="center"/>
    </xf>
    <xf numFmtId="0" fontId="57" fillId="0" borderId="43" xfId="0" applyFont="1" applyBorder="1" applyAlignment="1">
      <alignment horizontal="center" vertical="center"/>
    </xf>
    <xf numFmtId="0" fontId="5" fillId="0" borderId="63"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73" xfId="0" applyFont="1" applyFill="1" applyBorder="1" applyAlignment="1">
      <alignment horizontal="center" vertical="center" shrinkToFit="1"/>
    </xf>
    <xf numFmtId="0" fontId="5" fillId="0" borderId="74" xfId="0" applyFont="1" applyFill="1" applyBorder="1" applyAlignment="1">
      <alignment horizontal="center" vertical="center" shrinkToFit="1"/>
    </xf>
    <xf numFmtId="0" fontId="5" fillId="0" borderId="75" xfId="0" applyFont="1" applyFill="1" applyBorder="1" applyAlignment="1">
      <alignment horizontal="center" vertical="center" shrinkToFit="1"/>
    </xf>
    <xf numFmtId="0" fontId="5" fillId="0" borderId="76" xfId="0" applyFont="1" applyFill="1" applyBorder="1" applyAlignment="1">
      <alignment horizontal="center" vertical="center" shrinkToFit="1"/>
    </xf>
    <xf numFmtId="0" fontId="5" fillId="0" borderId="77"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78" xfId="0" applyFont="1" applyFill="1" applyBorder="1" applyAlignment="1">
      <alignment horizontal="center" vertical="center" shrinkToFit="1"/>
    </xf>
    <xf numFmtId="0" fontId="5" fillId="0" borderId="79" xfId="0" applyFont="1" applyFill="1" applyBorder="1" applyAlignment="1">
      <alignment horizontal="center" vertical="center" shrinkToFit="1"/>
    </xf>
    <xf numFmtId="0" fontId="5" fillId="0" borderId="80" xfId="0" applyFont="1" applyFill="1" applyBorder="1" applyAlignment="1">
      <alignment horizontal="center" vertical="center" shrinkToFit="1"/>
    </xf>
    <xf numFmtId="0" fontId="8" fillId="0" borderId="63"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81" xfId="0" applyFont="1" applyBorder="1" applyAlignment="1">
      <alignment horizontal="center" vertical="center" wrapText="1"/>
    </xf>
    <xf numFmtId="0" fontId="8" fillId="0" borderId="82"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83" xfId="0" applyFont="1" applyFill="1" applyBorder="1" applyAlignment="1">
      <alignment horizontal="center" vertical="center" wrapText="1"/>
    </xf>
    <xf numFmtId="0" fontId="8" fillId="0" borderId="74" xfId="0" applyFont="1" applyFill="1" applyBorder="1" applyAlignment="1">
      <alignment horizontal="center" vertical="center" wrapText="1"/>
    </xf>
    <xf numFmtId="0" fontId="8" fillId="0" borderId="84" xfId="0" applyFont="1" applyFill="1" applyBorder="1" applyAlignment="1">
      <alignment horizontal="center" vertical="center" wrapText="1"/>
    </xf>
    <xf numFmtId="0" fontId="8" fillId="0" borderId="74" xfId="0" applyFont="1" applyBorder="1" applyAlignment="1">
      <alignment horizontal="center" vertical="center" wrapText="1"/>
    </xf>
    <xf numFmtId="0" fontId="8" fillId="0" borderId="84" xfId="0" applyFont="1" applyBorder="1" applyAlignment="1">
      <alignment horizontal="center" vertical="center" wrapText="1"/>
    </xf>
    <xf numFmtId="0" fontId="9" fillId="0" borderId="85" xfId="0" applyFont="1" applyBorder="1" applyAlignment="1">
      <alignment horizontal="left" vertical="top" wrapText="1"/>
    </xf>
    <xf numFmtId="0" fontId="9" fillId="0" borderId="86" xfId="0" applyFont="1" applyBorder="1" applyAlignment="1">
      <alignment horizontal="left" vertical="top" wrapText="1"/>
    </xf>
    <xf numFmtId="0" fontId="9" fillId="0" borderId="87" xfId="0" applyFont="1" applyBorder="1" applyAlignment="1">
      <alignment horizontal="left" vertical="top" wrapText="1"/>
    </xf>
    <xf numFmtId="0" fontId="8" fillId="0" borderId="36"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56" xfId="0" applyFont="1" applyBorder="1" applyAlignment="1">
      <alignment horizontal="center" vertical="center" wrapText="1"/>
    </xf>
    <xf numFmtId="0" fontId="5" fillId="0" borderId="88" xfId="0" applyFont="1" applyFill="1" applyBorder="1" applyAlignment="1">
      <alignment horizontal="center" vertical="center"/>
    </xf>
    <xf numFmtId="0" fontId="5" fillId="0" borderId="88" xfId="0" applyFont="1" applyFill="1" applyBorder="1" applyAlignment="1">
      <alignment vertical="center" shrinkToFit="1"/>
    </xf>
    <xf numFmtId="0" fontId="5" fillId="0" borderId="0" xfId="0" applyFont="1" applyFill="1" applyBorder="1" applyAlignment="1">
      <alignment vertical="center" shrinkToFit="1"/>
    </xf>
    <xf numFmtId="0" fontId="8" fillId="0" borderId="75" xfId="0" applyFont="1" applyFill="1" applyBorder="1" applyAlignment="1">
      <alignment horizontal="center" vertical="center" wrapText="1"/>
    </xf>
    <xf numFmtId="0" fontId="8" fillId="0" borderId="4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89" xfId="0" applyFont="1" applyBorder="1" applyAlignment="1">
      <alignment horizontal="center" vertical="center" wrapText="1"/>
    </xf>
  </cellXfs>
  <cellStyles count="90">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見出し 1" xfId="82"/>
    <cellStyle name="見出し 1 2" xfId="83"/>
    <cellStyle name="見出し 2" xfId="84"/>
    <cellStyle name="見出し 2 2" xfId="85"/>
    <cellStyle name="見出し 3" xfId="86"/>
    <cellStyle name="見出し 3 2" xfId="87"/>
    <cellStyle name="見出し 4" xfId="88"/>
    <cellStyle name="見出し 4 2" xfId="89"/>
    <cellStyle name="集計" xfId="90"/>
    <cellStyle name="集計 2" xfId="91"/>
    <cellStyle name="出力" xfId="92"/>
    <cellStyle name="出力 2" xfId="93"/>
    <cellStyle name="説明文" xfId="94"/>
    <cellStyle name="説明文 2" xfId="95"/>
    <cellStyle name="Currency [0]" xfId="96"/>
    <cellStyle name="Currency" xfId="97"/>
    <cellStyle name="入力" xfId="98"/>
    <cellStyle name="入力 2" xfId="99"/>
    <cellStyle name="標準 2" xfId="100"/>
    <cellStyle name="標準 3" xfId="101"/>
    <cellStyle name="良い" xfId="102"/>
    <cellStyle name="良い 2"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257175</xdr:colOff>
      <xdr:row>0</xdr:row>
      <xdr:rowOff>38100</xdr:rowOff>
    </xdr:from>
    <xdr:to>
      <xdr:col>16</xdr:col>
      <xdr:colOff>0</xdr:colOff>
      <xdr:row>1</xdr:row>
      <xdr:rowOff>47625</xdr:rowOff>
    </xdr:to>
    <xdr:pic>
      <xdr:nvPicPr>
        <xdr:cNvPr id="1" name="Picture 1" descr="kabu_B"/>
        <xdr:cNvPicPr preferRelativeResize="1">
          <a:picLocks noChangeAspect="1"/>
        </xdr:cNvPicPr>
      </xdr:nvPicPr>
      <xdr:blipFill>
        <a:blip r:embed="rId1"/>
        <a:stretch>
          <a:fillRect/>
        </a:stretch>
      </xdr:blipFill>
      <xdr:spPr>
        <a:xfrm>
          <a:off x="12125325" y="38100"/>
          <a:ext cx="1438275" cy="190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180975</xdr:colOff>
      <xdr:row>0</xdr:row>
      <xdr:rowOff>0</xdr:rowOff>
    </xdr:from>
    <xdr:to>
      <xdr:col>32</xdr:col>
      <xdr:colOff>0</xdr:colOff>
      <xdr:row>1</xdr:row>
      <xdr:rowOff>0</xdr:rowOff>
    </xdr:to>
    <xdr:pic>
      <xdr:nvPicPr>
        <xdr:cNvPr id="1" name="Picture 1" descr="kabu_B"/>
        <xdr:cNvPicPr preferRelativeResize="1">
          <a:picLocks noChangeAspect="1"/>
        </xdr:cNvPicPr>
      </xdr:nvPicPr>
      <xdr:blipFill>
        <a:blip r:embed="rId1"/>
        <a:stretch>
          <a:fillRect/>
        </a:stretch>
      </xdr:blipFill>
      <xdr:spPr>
        <a:xfrm>
          <a:off x="21688425" y="0"/>
          <a:ext cx="1247775" cy="180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63"/>
  <sheetViews>
    <sheetView tabSelected="1" view="pageBreakPreview" zoomScaleSheetLayoutView="100" zoomScalePageLayoutView="0" workbookViewId="0" topLeftCell="A1">
      <selection activeCell="A1" sqref="A1"/>
    </sheetView>
  </sheetViews>
  <sheetFormatPr defaultColWidth="10.7109375" defaultRowHeight="15"/>
  <cols>
    <col min="1" max="1" width="12.7109375" style="59" customWidth="1"/>
    <col min="2" max="10" width="12.7109375" style="54" customWidth="1"/>
    <col min="11" max="11" width="12.7109375" style="55" customWidth="1"/>
    <col min="12" max="16" width="12.7109375" style="54" customWidth="1"/>
    <col min="17" max="16384" width="10.7109375" style="54" customWidth="1"/>
  </cols>
  <sheetData>
    <row r="1" spans="1:6" ht="14.25">
      <c r="A1" s="76" t="s">
        <v>365</v>
      </c>
      <c r="B1" s="70"/>
      <c r="C1" s="70"/>
      <c r="D1" s="70"/>
      <c r="E1" s="53"/>
      <c r="F1" s="53"/>
    </row>
    <row r="2" spans="1:11" s="56" customFormat="1" ht="12.75">
      <c r="A2" s="96" t="s">
        <v>1</v>
      </c>
      <c r="B2" s="99" t="s">
        <v>0</v>
      </c>
      <c r="C2" s="100"/>
      <c r="D2" s="100"/>
      <c r="E2" s="101"/>
      <c r="G2" s="57"/>
      <c r="K2" s="58"/>
    </row>
    <row r="3" spans="1:11" s="56" customFormat="1" ht="12.75">
      <c r="A3" s="97"/>
      <c r="B3" s="102" t="s">
        <v>7</v>
      </c>
      <c r="C3" s="103"/>
      <c r="D3" s="103"/>
      <c r="E3" s="104"/>
      <c r="G3" s="57"/>
      <c r="K3" s="58"/>
    </row>
    <row r="4" spans="1:11" s="56" customFormat="1" ht="12.75">
      <c r="A4" s="97"/>
      <c r="B4" s="105" t="s">
        <v>8</v>
      </c>
      <c r="C4" s="106"/>
      <c r="D4" s="106"/>
      <c r="E4" s="107"/>
      <c r="G4" s="57"/>
      <c r="K4" s="58"/>
    </row>
    <row r="5" spans="1:11" s="56" customFormat="1" ht="12.75">
      <c r="A5" s="98"/>
      <c r="B5" s="108" t="s">
        <v>21</v>
      </c>
      <c r="C5" s="109"/>
      <c r="D5" s="109"/>
      <c r="E5" s="110"/>
      <c r="G5" s="57"/>
      <c r="K5" s="58"/>
    </row>
    <row r="6" ht="12.75">
      <c r="G6" s="57"/>
    </row>
    <row r="7" spans="1:16" s="15" customFormat="1" ht="9.75" customHeight="1">
      <c r="A7" s="122" t="s">
        <v>289</v>
      </c>
      <c r="B7" s="71" t="s">
        <v>13</v>
      </c>
      <c r="C7" s="120" t="s">
        <v>5</v>
      </c>
      <c r="D7" s="121"/>
      <c r="E7" s="117" t="s">
        <v>191</v>
      </c>
      <c r="F7" s="118"/>
      <c r="G7" s="118"/>
      <c r="H7" s="118"/>
      <c r="I7" s="118"/>
      <c r="J7" s="118"/>
      <c r="K7" s="118"/>
      <c r="L7" s="118"/>
      <c r="M7" s="119"/>
      <c r="N7" s="114" t="s">
        <v>19</v>
      </c>
      <c r="O7" s="111" t="s">
        <v>18</v>
      </c>
      <c r="P7" s="111" t="s">
        <v>24</v>
      </c>
    </row>
    <row r="8" spans="1:16" s="15" customFormat="1" ht="9">
      <c r="A8" s="123"/>
      <c r="B8" s="129" t="s">
        <v>6</v>
      </c>
      <c r="C8" s="125" t="s">
        <v>17</v>
      </c>
      <c r="D8" s="127" t="s">
        <v>41</v>
      </c>
      <c r="E8" s="52" t="s">
        <v>2</v>
      </c>
      <c r="F8" s="51" t="s">
        <v>10</v>
      </c>
      <c r="G8" s="51" t="s">
        <v>3</v>
      </c>
      <c r="H8" s="51" t="s">
        <v>11</v>
      </c>
      <c r="I8" s="49" t="s">
        <v>189</v>
      </c>
      <c r="J8" s="49" t="s">
        <v>16</v>
      </c>
      <c r="K8" s="52" t="s">
        <v>190</v>
      </c>
      <c r="L8" s="16" t="s">
        <v>9</v>
      </c>
      <c r="M8" s="16" t="s">
        <v>264</v>
      </c>
      <c r="N8" s="115"/>
      <c r="O8" s="112"/>
      <c r="P8" s="112"/>
    </row>
    <row r="9" spans="1:16" s="15" customFormat="1" ht="9">
      <c r="A9" s="124"/>
      <c r="B9" s="130"/>
      <c r="C9" s="126"/>
      <c r="D9" s="128"/>
      <c r="E9" s="66" t="s">
        <v>122</v>
      </c>
      <c r="F9" s="67" t="s">
        <v>47</v>
      </c>
      <c r="G9" s="67" t="s">
        <v>47</v>
      </c>
      <c r="H9" s="67" t="s">
        <v>360</v>
      </c>
      <c r="I9" s="67" t="s">
        <v>369</v>
      </c>
      <c r="J9" s="67" t="s">
        <v>368</v>
      </c>
      <c r="K9" s="67" t="s">
        <v>371</v>
      </c>
      <c r="L9" s="67" t="s">
        <v>6</v>
      </c>
      <c r="M9" s="68" t="s">
        <v>372</v>
      </c>
      <c r="N9" s="116"/>
      <c r="O9" s="113"/>
      <c r="P9" s="113"/>
    </row>
    <row r="10" spans="1:16" s="1" customFormat="1" ht="40.5" customHeight="1">
      <c r="A10" s="9" t="s">
        <v>316</v>
      </c>
      <c r="B10" s="72" t="s">
        <v>338</v>
      </c>
      <c r="C10" s="18"/>
      <c r="D10" s="8"/>
      <c r="E10" s="64">
        <f>HLOOKUP(E9,国語,2,FALSE)</f>
        <v>0</v>
      </c>
      <c r="F10" s="64">
        <f>HLOOKUP(F9,社会,2,FALSE)</f>
        <v>0</v>
      </c>
      <c r="G10" s="64">
        <f>HLOOKUP(G9,算数,2,FALSE)</f>
        <v>0</v>
      </c>
      <c r="H10" s="64">
        <f>HLOOKUP(H9,理科,2,FALSE)</f>
        <v>0</v>
      </c>
      <c r="I10" s="64">
        <f>HLOOKUP(I9,音楽,2,FALSE)</f>
        <v>0</v>
      </c>
      <c r="J10" s="64">
        <f>HLOOKUP(J9,図画工作,2,FALSE)</f>
        <v>0</v>
      </c>
      <c r="K10" s="64">
        <f>HLOOKUP(K9,家庭,2,FALSE)</f>
        <v>0</v>
      </c>
      <c r="L10" s="65"/>
      <c r="M10" s="64">
        <f>HLOOKUP(M9,保健,2,FALSE)</f>
        <v>0</v>
      </c>
      <c r="N10" s="12"/>
      <c r="O10" s="3"/>
      <c r="P10" s="10"/>
    </row>
    <row r="11" spans="1:16" s="1" customFormat="1" ht="42" customHeight="1">
      <c r="A11" s="9" t="s">
        <v>317</v>
      </c>
      <c r="B11" s="72" t="s">
        <v>339</v>
      </c>
      <c r="C11" s="18"/>
      <c r="D11" s="8"/>
      <c r="E11" s="21" t="str">
        <f>HLOOKUP(E9,国語,3,FALSE)</f>
        <v>●笑うから楽しい/5月
●今，私は，ぼくは/2月
</v>
      </c>
      <c r="F11" s="21">
        <f>HLOOKUP(F9,社会,3,FALSE)</f>
        <v>0</v>
      </c>
      <c r="G11" s="21">
        <f>HLOOKUP(G9,算数,3,FALSE)</f>
        <v>0</v>
      </c>
      <c r="H11" s="21">
        <f>HLOOKUP(H9,理科,3,FALSE)</f>
        <v>0</v>
      </c>
      <c r="I11" s="21" t="str">
        <f>HLOOKUP(I9,音楽,3,FALSE)</f>
        <v>●心をこめて表現しよう/2月
</v>
      </c>
      <c r="J11" s="21">
        <f>HLOOKUP(J9,図画工作,3,FALSE)</f>
        <v>0</v>
      </c>
      <c r="K11" s="21">
        <f>HLOOKUP(K9,家庭,3,FALSE)</f>
        <v>0</v>
      </c>
      <c r="L11" s="5"/>
      <c r="M11" s="21">
        <f>HLOOKUP(M9,保健,3,FALSE)</f>
        <v>0</v>
      </c>
      <c r="N11" s="4"/>
      <c r="O11" s="3"/>
      <c r="P11" s="2"/>
    </row>
    <row r="12" spans="1:16" s="1" customFormat="1" ht="87" customHeight="1">
      <c r="A12" s="14" t="s">
        <v>318</v>
      </c>
      <c r="B12" s="73" t="s">
        <v>340</v>
      </c>
      <c r="C12" s="17" t="s">
        <v>33</v>
      </c>
      <c r="D12" s="13"/>
      <c r="E12" s="21" t="str">
        <f>HLOOKUP(E9,国語,4,FALSE)</f>
        <v>●時計の時間と心の時間/5月
</v>
      </c>
      <c r="F12" s="21">
        <f>HLOOKUP(F9,社会,4,FALSE)</f>
        <v>0</v>
      </c>
      <c r="G12" s="21">
        <f>HLOOKUP(G9,算数,4,FALSE)</f>
        <v>0</v>
      </c>
      <c r="H12" s="21" t="str">
        <f>HLOOKUP(H9,理科,4,FALSE)</f>
        <v>●わたしたちの生活と環境/4月
●生物と地球環境/2月
</v>
      </c>
      <c r="I12" s="21">
        <f>HLOOKUP(I9,音楽,4,FALSE)</f>
        <v>0</v>
      </c>
      <c r="J12" s="21">
        <f>HLOOKUP(J9,図画工作,4,FALSE)</f>
        <v>0</v>
      </c>
      <c r="K12" s="21" t="str">
        <f>HLOOKUP(K9,家庭,4,FALSE)</f>
        <v>●わたしの生活時間/4月
●いためてつくろう　朝食のおかず/4月
●クリーン大作戦/5月
●暑い季節を快適に/6月
●くふうしようおいしい食事/11月
●共に生きる生活/1月</v>
      </c>
      <c r="L12" s="5"/>
      <c r="M12" s="21" t="str">
        <f>HLOOKUP(M9,保健,4,FALSE)</f>
        <v>●病気の予防/6月
●病気の予防/2月</v>
      </c>
      <c r="N12" s="4"/>
      <c r="O12" s="11" t="s">
        <v>30</v>
      </c>
      <c r="P12" s="2"/>
    </row>
    <row r="13" spans="1:16" s="1" customFormat="1" ht="145.5" customHeight="1">
      <c r="A13" s="9" t="s">
        <v>319</v>
      </c>
      <c r="B13" s="72" t="s">
        <v>341</v>
      </c>
      <c r="C13" s="18"/>
      <c r="D13" s="8" t="s">
        <v>27</v>
      </c>
      <c r="E13" s="21" t="str">
        <f>HLOOKUP(E9,国語,5,FALSE)</f>
        <v>●この絵，私はこう見る/11月
●中学校へつなげよう/3月
</v>
      </c>
      <c r="F13" s="21">
        <f>HLOOKUP(F9,社会,5,FALSE)</f>
        <v>0</v>
      </c>
      <c r="G13" s="21">
        <f>HLOOKUP(G9,算数,5,FALSE)</f>
        <v>0</v>
      </c>
      <c r="H13" s="21">
        <f>HLOOKUP(H9,理科,5,FALSE)</f>
        <v>0</v>
      </c>
      <c r="I13" s="21">
        <f>HLOOKUP(I9,音楽,5,FALSE)</f>
        <v>0</v>
      </c>
      <c r="J13" s="21" t="str">
        <f>HLOOKUP(J9,図画工作,5,FALSE)</f>
        <v>●想像のつばさを広げて/5月
●水の流れのように/6月
●くるくるクランク/9月
●アミアミアミーゴ/10月
●墨で表す/10月
●ひらいてみると/11月
●いっしゅんの形から/11月
●版から広がる世界/1月
●ドリームプラン/2月
●12年後のわたし/3月</v>
      </c>
      <c r="K13" s="21">
        <f>HLOOKUP(K9,家庭,5,FALSE)</f>
        <v>0</v>
      </c>
      <c r="L13" s="5"/>
      <c r="M13" s="21">
        <f>HLOOKUP(M9,保健,5,FALSE)</f>
        <v>0</v>
      </c>
      <c r="N13" s="4"/>
      <c r="O13" s="3" t="s">
        <v>259</v>
      </c>
      <c r="P13" s="2"/>
    </row>
    <row r="14" spans="1:16" s="1" customFormat="1" ht="153" customHeight="1">
      <c r="A14" s="9" t="s">
        <v>320</v>
      </c>
      <c r="B14" s="72" t="s">
        <v>342</v>
      </c>
      <c r="C14" s="18" t="s">
        <v>32</v>
      </c>
      <c r="D14" s="8" t="s">
        <v>34</v>
      </c>
      <c r="E14" s="21" t="str">
        <f>HLOOKUP(E9,国語,6,FALSE)</f>
        <v>●時計の時間と心の時間/5月
●未来がよりよくあるために/9月
●イーハトーヴの夢/10月
</v>
      </c>
      <c r="F14" s="21" t="str">
        <f>HLOOKUP(F9,社会,6,FALSE)</f>
        <v>●３人の武将と天下統一/7月
●町人の文化と新しい学問/9月
●子育て支援の願いを実現する政治/震災復興の願いを実現する政治（選択）/12月
</v>
      </c>
      <c r="G14" s="21">
        <f>HLOOKUP(G9,算数,6,FALSE)</f>
        <v>0</v>
      </c>
      <c r="H14" s="21">
        <f>HLOOKUP(H9,理科,6,FALSE)</f>
        <v>0</v>
      </c>
      <c r="I14" s="21" t="str">
        <f>HLOOKUP(I9,音楽,6,FALSE)</f>
        <v>●詩と音楽を味わおう/12月
</v>
      </c>
      <c r="J14" s="21" t="str">
        <f>HLOOKUP(J9,図画工作,6,FALSE)</f>
        <v>●くるくるクランク/9月
●アミアミアミーゴ/10月
●ドリームプラン/2月
●12年後のわたし/3月</v>
      </c>
      <c r="K14" s="21">
        <f>HLOOKUP(K9,家庭,6,FALSE)</f>
        <v>0</v>
      </c>
      <c r="L14" s="5" t="s">
        <v>35</v>
      </c>
      <c r="M14" s="21">
        <f>HLOOKUP(M9,保健,6,FALSE)</f>
        <v>0</v>
      </c>
      <c r="N14" s="4"/>
      <c r="O14" s="3"/>
      <c r="P14" s="2"/>
    </row>
    <row r="15" spans="1:16" s="1" customFormat="1" ht="141" customHeight="1">
      <c r="A15" s="9" t="s">
        <v>321</v>
      </c>
      <c r="B15" s="72" t="s">
        <v>343</v>
      </c>
      <c r="C15" s="18" t="s">
        <v>25</v>
      </c>
      <c r="D15" s="8"/>
      <c r="E15" s="21" t="str">
        <f>HLOOKUP(E9,国語,7,FALSE)</f>
        <v>●たのしみは/9月
●未来がよりよくあるために/9月
●『鳥獣戯画』を読む/11月
●自然に学ぶ暮らし/1月
●忘れられない言葉/1月
●中学校へつなげよう/3月
</v>
      </c>
      <c r="F15" s="21" t="str">
        <f>HLOOKUP(F9,社会,7,FALSE)</f>
        <v>●３人の武将と天下統一/7月
●町人の文化と新しい学問/9月
</v>
      </c>
      <c r="G15" s="21" t="str">
        <f>HLOOKUP(G9,算数,7,FALSE)</f>
        <v>●対称な図形/4月
●円の面積/5月
●文字と式/5月
●分数のかけ算/5月
●分数のわり算/6月
●およその面積や体積
●比と比の値/9月
●拡大図と縮図/9月
●比例と反比例/10月
●並べ方と組み合わせ方/12月
●資料の調べ方/1月
</v>
      </c>
      <c r="H15" s="21" t="str">
        <f>HLOOKUP(H9,理科,7,FALSE)</f>
        <v>●ものの燃え方/4月
●植物の成長と日光の関わり/5月
●体のつくりとはたらき/6月
●植物の成長と水の関わり/7月
●月と太陽/9月
●水よう液の性質/9月
●土地のつくりと変化/10月
●てこのはたらき/11月
●電気の性質とその利用/1月
</v>
      </c>
      <c r="I15" s="21" t="str">
        <f>HLOOKUP(I9,音楽,7,FALSE)</f>
        <v>●和音の美しさを味わおう/9月
●曲想を味わおう/10月
●心をこめて表現しよう/2月
</v>
      </c>
      <c r="J15" s="21" t="str">
        <f>HLOOKUP(J9,図画工作,7,FALSE)</f>
        <v>●見つめて 広げて/形や色を楽しもう/4月
●想像のつばさを広げて/5月
●動きをとらえて形を見つけて/5月
●水の流れのように/6月
●アミアミアミーゴ/10月
●ひらいてみると/11月
●筆あと研究所/12月
●版から広がる世界/1月</v>
      </c>
      <c r="K15" s="21" t="str">
        <f>HLOOKUP(K9,家庭,7,FALSE)</f>
        <v>●いためてつくろう　朝食のおかず/4月
●クリーン大作戦/5月
●暑い季節を快適に/６月
●楽しく　ソーイング/9月</v>
      </c>
      <c r="L15" s="5"/>
      <c r="M15" s="21">
        <f>HLOOKUP(M9,保健,7,FALSE)</f>
        <v>0</v>
      </c>
      <c r="N15" s="4"/>
      <c r="O15" s="3" t="s">
        <v>31</v>
      </c>
      <c r="P15" s="2"/>
    </row>
    <row r="16" spans="1:16" s="1" customFormat="1" ht="87.75" customHeight="1">
      <c r="A16" s="9" t="s">
        <v>322</v>
      </c>
      <c r="B16" s="72" t="s">
        <v>344</v>
      </c>
      <c r="C16" s="18"/>
      <c r="D16" s="8"/>
      <c r="E16" s="21" t="str">
        <f>HLOOKUP(E9,国語,8,FALSE)</f>
        <v>●笑うから楽しい/5月
●伝えにくいことを伝える/5月
●未来がよりよくあるために/9月
●生活の中の言葉/10月
●表現を選ぶ/12月
●忘れられない言葉/1月
</v>
      </c>
      <c r="F16" s="21">
        <f>HLOOKUP(F9,社会,8,FALSE)</f>
        <v>0</v>
      </c>
      <c r="G16" s="21">
        <f>HLOOKUP(G9,算数,8,FALSE)</f>
        <v>0</v>
      </c>
      <c r="H16" s="21">
        <f>HLOOKUP(H9,理科,8,FALSE)</f>
        <v>0</v>
      </c>
      <c r="I16" s="21">
        <f>HLOOKUP(I9,音楽,8,FALSE)</f>
        <v>0</v>
      </c>
      <c r="J16" s="21">
        <f>HLOOKUP(J9,図画工作,8,FALSE)</f>
        <v>0</v>
      </c>
      <c r="K16" s="21">
        <f>HLOOKUP(K9,家庭,8,FALSE)</f>
        <v>0</v>
      </c>
      <c r="L16" s="5"/>
      <c r="M16" s="21" t="str">
        <f>HLOOKUP(M9,保健,8,FALSE)</f>
        <v>●病気の予防/6月
●病気の予防/2月</v>
      </c>
      <c r="N16" s="4"/>
      <c r="O16" s="3" t="s">
        <v>28</v>
      </c>
      <c r="P16" s="2"/>
    </row>
    <row r="17" spans="1:16" s="1" customFormat="1" ht="62.25" customHeight="1">
      <c r="A17" s="9" t="s">
        <v>323</v>
      </c>
      <c r="B17" s="72" t="s">
        <v>345</v>
      </c>
      <c r="C17" s="18"/>
      <c r="D17" s="8"/>
      <c r="E17" s="21" t="str">
        <f>HLOOKUP(E9,国語,9,FALSE)</f>
        <v>●未来がよりよくあるために/9月
●生活の中の言葉/10月
</v>
      </c>
      <c r="F17" s="21">
        <f>HLOOKUP(F9,社会,9,FALSE)</f>
        <v>0</v>
      </c>
      <c r="G17" s="21">
        <f>HLOOKUP(G9,算数,9,FALSE)</f>
        <v>0</v>
      </c>
      <c r="H17" s="21" t="str">
        <f>HLOOKUP(H9,理科,9,FALSE)</f>
        <v>●わたしたちの生活と環境/4月
</v>
      </c>
      <c r="I17" s="21">
        <f>HLOOKUP(I9,音楽,9,FALSE)</f>
        <v>0</v>
      </c>
      <c r="J17" s="21">
        <f>HLOOKUP(J9,図画工作,9,FALSE)</f>
        <v>0</v>
      </c>
      <c r="K17" s="21" t="str">
        <f>HLOOKUP(K9,家庭,9,FALSE)</f>
        <v>●共に生きる生活/1月</v>
      </c>
      <c r="L17" s="5"/>
      <c r="M17" s="34">
        <f>HLOOKUP(M9,保健,9,FALSE)</f>
        <v>0</v>
      </c>
      <c r="N17" s="4"/>
      <c r="O17" s="3"/>
      <c r="P17" s="2"/>
    </row>
    <row r="18" spans="1:16" s="1" customFormat="1" ht="53.25" customHeight="1">
      <c r="A18" s="9" t="s">
        <v>324</v>
      </c>
      <c r="B18" s="72" t="s">
        <v>346</v>
      </c>
      <c r="C18" s="18"/>
      <c r="D18" s="8"/>
      <c r="E18" s="21" t="str">
        <f>HLOOKUP(E9,国語,10,FALSE)</f>
        <v>●伝えにくいことを伝える/5月
●表現を選ぶ/12月
</v>
      </c>
      <c r="F18" s="21">
        <f>HLOOKUP(F9,社会,10,FALSE)</f>
        <v>0</v>
      </c>
      <c r="G18" s="21">
        <f>HLOOKUP(G9,算数,10,FALSE)</f>
        <v>0</v>
      </c>
      <c r="H18" s="21">
        <f>HLOOKUP(H9,理科,10,FALSE)</f>
        <v>0</v>
      </c>
      <c r="I18" s="21">
        <f>HLOOKUP(I9,音楽,10,FALSE)</f>
        <v>0</v>
      </c>
      <c r="J18" s="21">
        <f>HLOOKUP(J9,図画工作,10,FALSE)</f>
        <v>0</v>
      </c>
      <c r="K18" s="21" t="str">
        <f>HLOOKUP(K9,家庭,10,FALSE)</f>
        <v>●共に生きる生活/1月</v>
      </c>
      <c r="L18" s="5"/>
      <c r="M18" s="21">
        <f>HLOOKUP(M9,保健,10,FALSE)</f>
        <v>0</v>
      </c>
      <c r="N18" s="4"/>
      <c r="O18" s="3"/>
      <c r="P18" s="2"/>
    </row>
    <row r="19" spans="1:16" s="1" customFormat="1" ht="196.5" customHeight="1">
      <c r="A19" s="9" t="s">
        <v>325</v>
      </c>
      <c r="B19" s="72" t="s">
        <v>355</v>
      </c>
      <c r="C19" s="18" t="s">
        <v>26</v>
      </c>
      <c r="D19" s="8"/>
      <c r="E19" s="21" t="str">
        <f>HLOOKUP(E9,国語,11,FALSE)</f>
        <v>●学級討論会をしよう/5月
</v>
      </c>
      <c r="F19" s="21" t="str">
        <f>HLOOKUP(F9,社会,11,FALSE)</f>
        <v>●子育て支援の願いを実現する政治/震災復興の願いを実現する政治（選択）/12月
</v>
      </c>
      <c r="G19" s="21">
        <f>HLOOKUP(G9,算数,11,FALSE)</f>
        <v>0</v>
      </c>
      <c r="H19" s="21">
        <f>HLOOKUP(H9,理科,11,FALSE)</f>
        <v>0</v>
      </c>
      <c r="I19" s="21" t="str">
        <f>HLOOKUP(I9,音楽,11,FALSE)</f>
        <v>●豊かな歌声をひびかせよう/4月
</v>
      </c>
      <c r="J19" s="21">
        <f>HLOOKUP(J9,図画工作,11,FALSE)</f>
        <v>0</v>
      </c>
      <c r="K19" s="21">
        <f>HLOOKUP(K9,家庭,11,FALSE)</f>
        <v>0</v>
      </c>
      <c r="L19" s="5" t="s">
        <v>42</v>
      </c>
      <c r="M19" s="21">
        <f>HLOOKUP(M9,保健,11,FALSE)</f>
        <v>0</v>
      </c>
      <c r="N19" s="4"/>
      <c r="O19" s="3" t="s">
        <v>22</v>
      </c>
      <c r="P19" s="2"/>
    </row>
    <row r="20" spans="1:16" s="1" customFormat="1" ht="45.75" customHeight="1">
      <c r="A20" s="9" t="s">
        <v>326</v>
      </c>
      <c r="B20" s="72" t="s">
        <v>356</v>
      </c>
      <c r="C20" s="18"/>
      <c r="D20" s="8"/>
      <c r="E20" s="21" t="str">
        <f>HLOOKUP(E9,国語,12,FALSE)</f>
        <v>●学級討論会をしよう/5月
</v>
      </c>
      <c r="F20" s="21">
        <f>HLOOKUP(F9,社会,12,FALSE)</f>
        <v>0</v>
      </c>
      <c r="G20" s="21">
        <f>HLOOKUP(G9,算数,12,FALSE)</f>
        <v>0</v>
      </c>
      <c r="H20" s="21">
        <f>HLOOKUP(H9,理科,12,FALSE)</f>
        <v>0</v>
      </c>
      <c r="I20" s="21">
        <f>HLOOKUP(I9,音楽,12,FALSE)</f>
        <v>0</v>
      </c>
      <c r="J20" s="21">
        <f>HLOOKUP(J9,図画工作,12,FALSE)</f>
        <v>0</v>
      </c>
      <c r="K20" s="21">
        <f>HLOOKUP(K9,家庭,12,FALSE)</f>
        <v>0</v>
      </c>
      <c r="L20" s="5"/>
      <c r="M20" s="21">
        <f>HLOOKUP(M9,保健,12,FALSE)</f>
        <v>0</v>
      </c>
      <c r="N20" s="4"/>
      <c r="O20" s="3"/>
      <c r="P20" s="2"/>
    </row>
    <row r="21" spans="1:16" s="1" customFormat="1" ht="216" customHeight="1">
      <c r="A21" s="9" t="s">
        <v>327</v>
      </c>
      <c r="B21" s="72" t="s">
        <v>347</v>
      </c>
      <c r="C21" s="18"/>
      <c r="D21" s="8"/>
      <c r="E21" s="21">
        <f>HLOOKUP(E9,国語,13,FALSE)</f>
        <v>0</v>
      </c>
      <c r="F21" s="21" t="str">
        <f>HLOOKUP(F9,社会,13,FALSE)</f>
        <v>●江戸幕府と政治の安定/9月
●子育て支援の願いを実現する政治/震災復興の願いを実現する政治（選択）/12月
●国の政治のしくみ/1月
●わたしたちのくらしと日本国憲法/1月
</v>
      </c>
      <c r="G21" s="21" t="str">
        <f>HLOOKUP(G9,算数,13,FALSE)</f>
        <v>●対称な図形/4月
●円の面積/5月
●文字と式/5月
●角柱と円柱の体積/7月
●比と比の値/9月
●拡大図と縮図/9月
●速さ/10月
●比例と反比例/10月
●並べ方と組み合わせ方/12月
●量の単位のしくみ/1月
</v>
      </c>
      <c r="H21" s="21" t="str">
        <f>HLOOKUP(H9,理科,13,FALSE)</f>
        <v>●水よう液の性質/9月
</v>
      </c>
      <c r="I21" s="21">
        <f>HLOOKUP(I9,音楽,13,FALSE)</f>
        <v>0</v>
      </c>
      <c r="J21" s="21">
        <f>HLOOKUP(J9,図画工作,13,FALSE)</f>
        <v>0</v>
      </c>
      <c r="K21" s="21" t="str">
        <f>HLOOKUP(K9,家庭,13,FALSE)</f>
        <v>●共に生きる生活/1月</v>
      </c>
      <c r="L21" s="5" t="s">
        <v>361</v>
      </c>
      <c r="M21" s="21" t="str">
        <f>HLOOKUP(M9,保健,13,FALSE)</f>
        <v>●病気の予防/6月
●病気の予防/2月</v>
      </c>
      <c r="N21" s="4"/>
      <c r="O21" s="3"/>
      <c r="P21" s="2"/>
    </row>
    <row r="22" spans="1:16" s="1" customFormat="1" ht="110.25" customHeight="1">
      <c r="A22" s="9" t="s">
        <v>328</v>
      </c>
      <c r="B22" s="72" t="s">
        <v>348</v>
      </c>
      <c r="C22" s="18"/>
      <c r="D22" s="8" t="s">
        <v>14</v>
      </c>
      <c r="E22" s="21" t="str">
        <f>HLOOKUP(E9,国語,14,FALSE)</f>
        <v>●柿山伏について/11月
</v>
      </c>
      <c r="F22" s="21" t="str">
        <f>HLOOKUP(F9,社会,14,FALSE)</f>
        <v>●江戸幕府と政治の安定/9月
●明治の国づくりを進めた人々/10月
●世界に歩み出した日本/10月
●長く続いた戦争と人々の暮らし/11月
●国の政治のしくみ/1月
●わたしたちのくらしと日本国憲法/1月
</v>
      </c>
      <c r="G22" s="21">
        <f>HLOOKUP(G9,算数,14,FALSE)</f>
        <v>0</v>
      </c>
      <c r="H22" s="21">
        <f>HLOOKUP(H9,理科,14,FALSE)</f>
        <v>0</v>
      </c>
      <c r="I22" s="21">
        <f>HLOOKUP(I9,音楽,14,FALSE)</f>
        <v>0</v>
      </c>
      <c r="J22" s="21">
        <f>HLOOKUP(J9,図画工作,14,FALSE)</f>
        <v>0</v>
      </c>
      <c r="K22" s="21">
        <f>HLOOKUP(K9,家庭,14,FALSE)</f>
        <v>0</v>
      </c>
      <c r="L22" s="5"/>
      <c r="M22" s="21">
        <f>HLOOKUP(M9,保健,14,FALSE)</f>
        <v>0</v>
      </c>
      <c r="N22" s="4"/>
      <c r="O22" s="3"/>
      <c r="P22" s="2"/>
    </row>
    <row r="23" spans="1:16" s="1" customFormat="1" ht="63" customHeight="1">
      <c r="A23" s="9" t="s">
        <v>329</v>
      </c>
      <c r="B23" s="72" t="s">
        <v>357</v>
      </c>
      <c r="C23" s="18" t="s">
        <v>23</v>
      </c>
      <c r="D23" s="8"/>
      <c r="E23" s="21">
        <f>HLOOKUP(E9,国語,15,FALSE)</f>
        <v>0</v>
      </c>
      <c r="F23" s="21" t="str">
        <f>HLOOKUP(F9,社会,15,FALSE)</f>
        <v>●わたしたちのくらしと日本国憲法/1月
</v>
      </c>
      <c r="G23" s="21">
        <f>HLOOKUP(G9,算数,15,FALSE)</f>
        <v>0</v>
      </c>
      <c r="H23" s="21">
        <f>HLOOKUP(H9,理科,15,FALSE)</f>
        <v>0</v>
      </c>
      <c r="I23" s="21">
        <f>HLOOKUP(I9,音楽,15,FALSE)</f>
        <v>0</v>
      </c>
      <c r="J23" s="21">
        <f>HLOOKUP(J9,図画工作,15,FALSE)</f>
        <v>0</v>
      </c>
      <c r="K23" s="21">
        <f>HLOOKUP(K9,家庭,15,FALSE)</f>
        <v>0</v>
      </c>
      <c r="L23" s="5"/>
      <c r="M23" s="21">
        <f>HLOOKUP(M9,保健,15,FALSE)</f>
        <v>0</v>
      </c>
      <c r="N23" s="4"/>
      <c r="O23" s="3" t="s">
        <v>46</v>
      </c>
      <c r="P23" s="2"/>
    </row>
    <row r="24" spans="1:16" s="1" customFormat="1" ht="58.5" customHeight="1">
      <c r="A24" s="9" t="s">
        <v>330</v>
      </c>
      <c r="B24" s="72" t="s">
        <v>349</v>
      </c>
      <c r="C24" s="18"/>
      <c r="D24" s="8"/>
      <c r="E24" s="21" t="str">
        <f>HLOOKUP(E9,国語,16,FALSE)</f>
        <v>●カレーライス/4月
</v>
      </c>
      <c r="F24" s="21">
        <f>HLOOKUP(F9,社会,16,FALSE)</f>
        <v>0</v>
      </c>
      <c r="G24" s="21">
        <f>HLOOKUP(G9,算数,16,FALSE)</f>
        <v>0</v>
      </c>
      <c r="H24" s="21">
        <f>HLOOKUP(H9,理科,16,FALSE)</f>
        <v>0</v>
      </c>
      <c r="I24" s="21">
        <f>HLOOKUP(I9,音楽,16,FALSE)</f>
        <v>0</v>
      </c>
      <c r="J24" s="21">
        <f>HLOOKUP(J9,図画工作,16,FALSE)</f>
        <v>0</v>
      </c>
      <c r="K24" s="21" t="str">
        <f>HLOOKUP(K9,家庭,16,FALSE)</f>
        <v>●わたしの生活時間/4月
●くふうしようおいしい食事/11月</v>
      </c>
      <c r="L24" s="5"/>
      <c r="M24" s="21">
        <f>HLOOKUP(M9,保健,16,FALSE)</f>
        <v>0</v>
      </c>
      <c r="N24" s="4"/>
      <c r="O24" s="3"/>
      <c r="P24" s="2"/>
    </row>
    <row r="25" spans="1:16" s="1" customFormat="1" ht="162" customHeight="1">
      <c r="A25" s="9" t="s">
        <v>331</v>
      </c>
      <c r="B25" s="72" t="s">
        <v>350</v>
      </c>
      <c r="C25" s="18" t="s">
        <v>285</v>
      </c>
      <c r="D25" s="8" t="s">
        <v>288</v>
      </c>
      <c r="E25" s="21" t="str">
        <f>HLOOKUP(E9,国語,17,FALSE)</f>
        <v>●未来がよりよくあるために/9月
●自然に学ぶ暮らし/1月
</v>
      </c>
      <c r="F25" s="22" t="str">
        <f>HLOOKUP(F9,社会,17,FALSE)</f>
        <v>●わたしたちのくらしと日本国憲法/1月
</v>
      </c>
      <c r="G25" s="21">
        <f>HLOOKUP(G9,算数,17,FALSE)</f>
        <v>0</v>
      </c>
      <c r="H25" s="21">
        <f>HLOOKUP(H9,理科,17,FALSE)</f>
        <v>0</v>
      </c>
      <c r="I25" s="21" t="str">
        <f>HLOOKUP(I9,音楽,17,FALSE)</f>
        <v>●いろいろな音のひびきを味わおう/6月
</v>
      </c>
      <c r="J25" s="21" t="str">
        <f>HLOOKUP(J9,図画工作,17,FALSE)</f>
        <v>●わたしの大切な風景/7月</v>
      </c>
      <c r="K25" s="21">
        <f>HLOOKUP(K9,家庭,17,FALSE)</f>
        <v>0</v>
      </c>
      <c r="L25" s="5" t="s">
        <v>362</v>
      </c>
      <c r="M25" s="21">
        <f>HLOOKUP(M9,保健,17,FALSE)</f>
        <v>0</v>
      </c>
      <c r="N25" s="4"/>
      <c r="O25" s="3"/>
      <c r="P25" s="2"/>
    </row>
    <row r="26" spans="1:16" s="1" customFormat="1" ht="195" customHeight="1">
      <c r="A26" s="9" t="s">
        <v>332</v>
      </c>
      <c r="B26" s="72" t="s">
        <v>358</v>
      </c>
      <c r="C26" s="18"/>
      <c r="D26" s="8"/>
      <c r="E26" s="21" t="str">
        <f>HLOOKUP(E9,国語,18,FALSE)</f>
        <v>●春のいぶき/4月
●河鹿の屏風/6月
●夏のさかり/6月
●ようこそ，私たちの町へ/6月
●たのしみは/9月
●イーハトーヴの夢/10月
●秋の深まり/10月
●『鳥獣戯画』を読む/11月
●伝えられてきたもの/11月
●狂言 柿山伏/11月
●柿山伏について/11月
●春を待つ冬/2月
●かなえられた願い―日本人になること/3月
</v>
      </c>
      <c r="F26" s="21" t="str">
        <f>HLOOKUP(F9,社会,18,FALSE)</f>
        <v>●縄文のむらから古墳のくにへ/ 4月
●天皇中心の国づくり/5月
●貴族のくらし/5月
●武士の世の中へ/6月
●今に伝わる室町文化/6月
●３人の武将と天下統一/7月
●江戸幕府と政治の安定/9月
●町人の文化と新しい学問/9月
●明治の国づくりを進めた人々/10月
●世界に歩み出した日本/10月
●日本とつながりの深い国々/2月
●世界の未来と日本の役割/3月
</v>
      </c>
      <c r="G26" s="21">
        <f>HLOOKUP(G9,算数,18,FALSE)</f>
        <v>0</v>
      </c>
      <c r="H26" s="21">
        <f>HLOOKUP(H9,理科,18,FALSE)</f>
        <v>0</v>
      </c>
      <c r="I26" s="21" t="str">
        <f>HLOOKUP(I9,音楽,18,FALSE)</f>
        <v>●詩と音楽を味わおう/12月
●日本と世界の音楽に親しもう/1月
</v>
      </c>
      <c r="J26" s="21" t="str">
        <f>HLOOKUP(J9,図画工作,18,FALSE)</f>
        <v>●見つめて 広げて/形や色を楽しもう/4月
●わたしの大切な風景/7月
●墨で表す/10月
●味わってみよう和の形/1月</v>
      </c>
      <c r="K26" s="21">
        <f>HLOOKUP(K9,家庭,18,FALSE)</f>
        <v>0</v>
      </c>
      <c r="L26" s="5"/>
      <c r="M26" s="21">
        <f>HLOOKUP(M9,保健,18,FALSE)</f>
        <v>0</v>
      </c>
      <c r="N26" s="4"/>
      <c r="O26" s="3" t="s">
        <v>29</v>
      </c>
      <c r="P26" s="2"/>
    </row>
    <row r="27" spans="1:16" s="1" customFormat="1" ht="143.25" customHeight="1">
      <c r="A27" s="24" t="s">
        <v>333</v>
      </c>
      <c r="B27" s="74" t="s">
        <v>351</v>
      </c>
      <c r="C27" s="31"/>
      <c r="D27" s="32"/>
      <c r="E27" s="21" t="str">
        <f>HLOOKUP(E9,国語,19,FALSE)</f>
        <v>●かなえられた願い―日本人になること/3月
</v>
      </c>
      <c r="F27" s="21" t="str">
        <f>HLOOKUP(F9,社会,19,FALSE)</f>
        <v>●縄文のむらから古墳のくにへ/ 4月
●天皇中心の国づくり/5月
●貴族のくらし/5月
●明治の国づくりを進めた人々/10月
●世界に歩み出した日本/10月
●新しい日本、平和な日本へ11月
●日本とつながりの深い国々/2月
●世界の未来と日本の役割/3月
</v>
      </c>
      <c r="G27" s="21">
        <f>HLOOKUP(G9,算数,19,FALSE)</f>
        <v>0</v>
      </c>
      <c r="H27" s="21">
        <f>HLOOKUP(H9,理科,19,FALSE)</f>
        <v>0</v>
      </c>
      <c r="I27" s="21">
        <f>HLOOKUP(I9,音楽,19,FALSE)</f>
        <v>0</v>
      </c>
      <c r="J27" s="21">
        <f>HLOOKUP(J9,図画工作,19,FALSE)</f>
        <v>0</v>
      </c>
      <c r="K27" s="21">
        <f>HLOOKUP(K9,家庭,19,FALSE)</f>
        <v>0</v>
      </c>
      <c r="L27" s="29" t="s">
        <v>363</v>
      </c>
      <c r="M27" s="21">
        <f>HLOOKUP(M9,保健,19,FALSE)</f>
        <v>0</v>
      </c>
      <c r="N27" s="4"/>
      <c r="O27" s="33" t="s">
        <v>45</v>
      </c>
      <c r="P27" s="2"/>
    </row>
    <row r="28" spans="1:16" s="1" customFormat="1" ht="91.5" customHeight="1">
      <c r="A28" s="9" t="s">
        <v>334</v>
      </c>
      <c r="B28" s="72" t="s">
        <v>359</v>
      </c>
      <c r="C28" s="18"/>
      <c r="D28" s="8"/>
      <c r="E28" s="21" t="str">
        <f>HLOOKUP(E9,国語,20,FALSE)</f>
        <v>●生きる/3月
</v>
      </c>
      <c r="F28" s="21" t="str">
        <f>HLOOKUP(F9,社会,20,FALSE)</f>
        <v>●長く続いた戦争と人々の暮らし/11月
●子育て支援の願いを実現する政治/震災復興の願いを実現する政治（選択）/12月
</v>
      </c>
      <c r="G28" s="21">
        <f>HLOOKUP(G9,算数,20,FALSE)</f>
        <v>0</v>
      </c>
      <c r="H28" s="21" t="str">
        <f>HLOOKUP(H9,理科,20,FALSE)</f>
        <v>●体のつくりとはたらき/6月
</v>
      </c>
      <c r="I28" s="21">
        <f>HLOOKUP(I9,音楽,20,FALSE)</f>
        <v>0</v>
      </c>
      <c r="J28" s="21">
        <f>HLOOKUP(J9,図画工作,20,FALSE)</f>
        <v>0</v>
      </c>
      <c r="K28" s="21">
        <f>HLOOKUP(K9,家庭,20,FALSE)</f>
        <v>0</v>
      </c>
      <c r="L28" s="5"/>
      <c r="M28" s="21" t="str">
        <f>HLOOKUP(M9,保健,20,FALSE)</f>
        <v>●病気の予防/6月
●病気の予防/2月</v>
      </c>
      <c r="N28" s="4"/>
      <c r="O28" s="3"/>
      <c r="P28" s="2"/>
    </row>
    <row r="29" spans="1:16" s="1" customFormat="1" ht="123" customHeight="1">
      <c r="A29" s="9" t="s">
        <v>335</v>
      </c>
      <c r="B29" s="72" t="s">
        <v>352</v>
      </c>
      <c r="C29" s="18"/>
      <c r="D29" s="8"/>
      <c r="E29" s="21" t="str">
        <f>HLOOKUP(E9,国語,21,FALSE)</f>
        <v>●春のいぶき/4月
●森へ/6月
●夏のさかり/6月
●せんねん　まんねん/9月
●未来がよりよくあるために/9月
●秋の深まり/10月
●自然に学ぶ暮らし/1月
●春を待つ冬/2月
●海の命/2月
●生きる/3月
●生き物はつながりの中に/3月
</v>
      </c>
      <c r="F29" s="21" t="str">
        <f>HLOOKUP(F9,社会,21,FALSE)</f>
        <v>●世界の未来と日本の役割/3月
</v>
      </c>
      <c r="G29" s="21">
        <f>HLOOKUP(G9,算数,21,FALSE)</f>
        <v>0</v>
      </c>
      <c r="H29" s="21" t="str">
        <f>HLOOKUP(H9,理科,21,FALSE)</f>
        <v>●植物の成長と日光の関わり/5月
●体のつくりとはたらき/6月
●植物の成長と水の関わり/7月
●生物どうしの関わり/7月
●月と太陽/9月
●土地のつくりと変化/10月
●生物と地球環境/2月
</v>
      </c>
      <c r="I29" s="21">
        <f>HLOOKUP(I9,音楽,21,FALSE)</f>
        <v>0</v>
      </c>
      <c r="J29" s="21" t="str">
        <f>HLOOKUP(J9,図画工作,21,FALSE)</f>
        <v>●見つめて 広げて/形や色を楽しもう/4月
●動きをとらえて形を見つけて/5月
●水の流れのように/6月
●わたしの大切な風景/7月</v>
      </c>
      <c r="K29" s="21" t="str">
        <f>HLOOKUP(K9,家庭,21,FALSE)</f>
        <v>●クリーン大作戦/5月
●暑い季節を快適に/6月
●共に生きる生活/1月</v>
      </c>
      <c r="L29" s="5" t="s">
        <v>364</v>
      </c>
      <c r="M29" s="21">
        <f>HLOOKUP(M9,保健,21,FALSE)</f>
        <v>0</v>
      </c>
      <c r="N29" s="4"/>
      <c r="O29" s="3"/>
      <c r="P29" s="2"/>
    </row>
    <row r="30" spans="1:16" s="1" customFormat="1" ht="80.25" customHeight="1">
      <c r="A30" s="9" t="s">
        <v>336</v>
      </c>
      <c r="B30" s="72" t="s">
        <v>353</v>
      </c>
      <c r="C30" s="18"/>
      <c r="D30" s="8"/>
      <c r="E30" s="21" t="str">
        <f>HLOOKUP(E9,国語,22,FALSE)</f>
        <v>●森へ/6月
●河鹿の屏風/6月
●やまなし/10月
●海の命/2月
●中学校へつなげよう/3月
●生きる/3月
●生き物はつながりの中に/3月
</v>
      </c>
      <c r="F30" s="21">
        <f>HLOOKUP(F9,社会,22,FALSE)</f>
        <v>0</v>
      </c>
      <c r="G30" s="21">
        <f>HLOOKUP(G9,算数,22,FALSE)</f>
        <v>0</v>
      </c>
      <c r="H30" s="21" t="str">
        <f>HLOOKUP(H9,理科,22,FALSE)</f>
        <v>●月と太陽/9月
</v>
      </c>
      <c r="I30" s="21" t="str">
        <f>HLOOKUP(I9,音楽,22,FALSE)</f>
        <v>●いろいろな音のひびきを味わおう/6月
●和音の美しさを味わおう/9月
●日本と世界の音楽に親しもう/1月
</v>
      </c>
      <c r="J30" s="21" t="str">
        <f>HLOOKUP(J9,図画工作,22,FALSE)</f>
        <v>●光の形/9月
●筆あと研究所/12月
●味わってみよう和の形/1月</v>
      </c>
      <c r="K30" s="21">
        <f>HLOOKUP(K9,家庭,22,FALSE)</f>
        <v>0</v>
      </c>
      <c r="L30" s="5"/>
      <c r="M30" s="21">
        <f>HLOOKUP(M9,保健,22,FALSE)</f>
        <v>0</v>
      </c>
      <c r="N30" s="4"/>
      <c r="O30" s="3"/>
      <c r="P30" s="2"/>
    </row>
    <row r="31" spans="1:16" ht="49.5" customHeight="1">
      <c r="A31" s="44" t="s">
        <v>337</v>
      </c>
      <c r="B31" s="75" t="s">
        <v>354</v>
      </c>
      <c r="C31" s="36"/>
      <c r="D31" s="37"/>
      <c r="E31" s="38" t="str">
        <f>HLOOKUP(E9,国語,23,FALSE)</f>
        <v>●未来がよりよくあるために/9月
●海の命/2月</v>
      </c>
      <c r="F31" s="38">
        <f>HLOOKUP(F9,社会,23,FALSE)</f>
        <v>0</v>
      </c>
      <c r="G31" s="38">
        <f>HLOOKUP(G9,算数,23,FALSE)</f>
        <v>0</v>
      </c>
      <c r="H31" s="38" t="str">
        <f>HLOOKUP(H9,理科,23,FALSE)</f>
        <v>●生物と地球環境/2月</v>
      </c>
      <c r="I31" s="38">
        <f>HLOOKUP(I9,音楽,23,FALSE)</f>
        <v>0</v>
      </c>
      <c r="J31" s="38" t="str">
        <f>HLOOKUP(J9,図画工作,23,FALSE)</f>
        <v>●筆あと研究所/12月
●ドリームプラン/2月
●12年後のわたし/3月</v>
      </c>
      <c r="K31" s="38">
        <f>HLOOKUP(K9,家庭,23,FALSE)</f>
        <v>0</v>
      </c>
      <c r="L31" s="39"/>
      <c r="M31" s="40">
        <f>HLOOKUP(M9,保健,23,FALSE)</f>
        <v>0</v>
      </c>
      <c r="N31" s="41"/>
      <c r="O31" s="42"/>
      <c r="P31" s="43"/>
    </row>
    <row r="33" ht="10.5" hidden="1">
      <c r="A33" s="54" t="s">
        <v>374</v>
      </c>
    </row>
    <row r="34" spans="1:2" ht="10.5" hidden="1">
      <c r="A34" s="77" t="s">
        <v>2</v>
      </c>
      <c r="B34" s="78" t="s">
        <v>47</v>
      </c>
    </row>
    <row r="35" spans="1:2" ht="10.5" hidden="1">
      <c r="A35" s="81" t="s">
        <v>2</v>
      </c>
      <c r="B35" s="82" t="s">
        <v>64</v>
      </c>
    </row>
    <row r="36" spans="1:2" ht="10.5" hidden="1">
      <c r="A36" s="81" t="s">
        <v>2</v>
      </c>
      <c r="B36" s="82" t="s">
        <v>367</v>
      </c>
    </row>
    <row r="37" spans="1:2" ht="10.5" hidden="1">
      <c r="A37" s="81" t="s">
        <v>2</v>
      </c>
      <c r="B37" s="82" t="s">
        <v>110</v>
      </c>
    </row>
    <row r="38" spans="1:2" ht="10.5" hidden="1">
      <c r="A38" s="81" t="s">
        <v>2</v>
      </c>
      <c r="B38" s="82" t="s">
        <v>122</v>
      </c>
    </row>
    <row r="39" spans="1:2" ht="10.5" hidden="1">
      <c r="A39" s="81" t="s">
        <v>10</v>
      </c>
      <c r="B39" s="82" t="s">
        <v>47</v>
      </c>
    </row>
    <row r="40" spans="1:2" ht="10.5" hidden="1">
      <c r="A40" s="81" t="s">
        <v>10</v>
      </c>
      <c r="B40" s="82" t="s">
        <v>110</v>
      </c>
    </row>
    <row r="41" spans="1:2" ht="10.5" hidden="1">
      <c r="A41" s="81" t="s">
        <v>10</v>
      </c>
      <c r="B41" s="82" t="s">
        <v>122</v>
      </c>
    </row>
    <row r="42" spans="1:2" ht="10.5" hidden="1">
      <c r="A42" s="81" t="s">
        <v>10</v>
      </c>
      <c r="B42" s="82" t="s">
        <v>368</v>
      </c>
    </row>
    <row r="43" spans="1:2" ht="10.5" hidden="1">
      <c r="A43" s="81" t="s">
        <v>3</v>
      </c>
      <c r="B43" s="82" t="s">
        <v>47</v>
      </c>
    </row>
    <row r="44" spans="1:2" ht="10.5" hidden="1">
      <c r="A44" s="81" t="s">
        <v>3</v>
      </c>
      <c r="B44" s="82" t="s">
        <v>360</v>
      </c>
    </row>
    <row r="45" spans="1:2" ht="10.5" hidden="1">
      <c r="A45" s="81" t="s">
        <v>3</v>
      </c>
      <c r="B45" s="82" t="s">
        <v>64</v>
      </c>
    </row>
    <row r="46" spans="1:2" ht="10.5" hidden="1">
      <c r="A46" s="81" t="s">
        <v>3</v>
      </c>
      <c r="B46" s="82" t="s">
        <v>110</v>
      </c>
    </row>
    <row r="47" spans="1:2" ht="10.5" hidden="1">
      <c r="A47" s="81" t="s">
        <v>3</v>
      </c>
      <c r="B47" s="82" t="s">
        <v>146</v>
      </c>
    </row>
    <row r="48" spans="1:2" ht="10.5" hidden="1">
      <c r="A48" s="81" t="s">
        <v>3</v>
      </c>
      <c r="B48" s="82" t="s">
        <v>368</v>
      </c>
    </row>
    <row r="49" spans="1:2" ht="10.5" hidden="1">
      <c r="A49" s="81" t="s">
        <v>11</v>
      </c>
      <c r="B49" s="82" t="s">
        <v>47</v>
      </c>
    </row>
    <row r="50" spans="1:2" ht="10.5" hidden="1">
      <c r="A50" s="81" t="s">
        <v>11</v>
      </c>
      <c r="B50" s="82" t="s">
        <v>360</v>
      </c>
    </row>
    <row r="51" spans="1:2" ht="10.5" hidden="1">
      <c r="A51" s="81" t="s">
        <v>11</v>
      </c>
      <c r="B51" s="82" t="s">
        <v>64</v>
      </c>
    </row>
    <row r="52" spans="1:2" ht="10.5" hidden="1">
      <c r="A52" s="81" t="s">
        <v>11</v>
      </c>
      <c r="B52" s="82" t="s">
        <v>110</v>
      </c>
    </row>
    <row r="53" spans="1:2" ht="10.5" hidden="1">
      <c r="A53" s="81" t="s">
        <v>11</v>
      </c>
      <c r="B53" s="82" t="s">
        <v>146</v>
      </c>
    </row>
    <row r="54" spans="1:2" ht="10.5" hidden="1">
      <c r="A54" s="81" t="s">
        <v>4</v>
      </c>
      <c r="B54" s="82" t="s">
        <v>110</v>
      </c>
    </row>
    <row r="55" spans="1:2" ht="10.5" hidden="1">
      <c r="A55" s="81" t="s">
        <v>4</v>
      </c>
      <c r="B55" s="82" t="s">
        <v>369</v>
      </c>
    </row>
    <row r="56" spans="1:2" ht="10.5" hidden="1">
      <c r="A56" s="81" t="s">
        <v>370</v>
      </c>
      <c r="B56" s="82" t="s">
        <v>371</v>
      </c>
    </row>
    <row r="57" spans="1:2" ht="10.5" hidden="1">
      <c r="A57" s="81" t="s">
        <v>370</v>
      </c>
      <c r="B57" s="82" t="s">
        <v>368</v>
      </c>
    </row>
    <row r="58" spans="1:2" ht="10.5" hidden="1">
      <c r="A58" s="81" t="s">
        <v>12</v>
      </c>
      <c r="B58" s="82" t="s">
        <v>47</v>
      </c>
    </row>
    <row r="59" spans="1:2" ht="10.5" hidden="1">
      <c r="A59" s="81" t="s">
        <v>12</v>
      </c>
      <c r="B59" s="82" t="s">
        <v>371</v>
      </c>
    </row>
    <row r="60" spans="1:2" ht="10.5" hidden="1">
      <c r="A60" s="81" t="s">
        <v>15</v>
      </c>
      <c r="B60" s="82" t="s">
        <v>47</v>
      </c>
    </row>
    <row r="61" spans="1:2" ht="10.5" hidden="1">
      <c r="A61" s="81" t="s">
        <v>15</v>
      </c>
      <c r="B61" s="82" t="s">
        <v>360</v>
      </c>
    </row>
    <row r="62" spans="1:2" ht="10.5" hidden="1">
      <c r="A62" s="81" t="s">
        <v>15</v>
      </c>
      <c r="B62" s="82" t="s">
        <v>372</v>
      </c>
    </row>
    <row r="63" spans="1:2" ht="10.5" hidden="1">
      <c r="A63" s="79" t="s">
        <v>15</v>
      </c>
      <c r="B63" s="80" t="s">
        <v>373</v>
      </c>
    </row>
  </sheetData>
  <sheetProtection/>
  <mergeCells count="14">
    <mergeCell ref="A7:A9"/>
    <mergeCell ref="C8:C9"/>
    <mergeCell ref="D8:D9"/>
    <mergeCell ref="B8:B9"/>
    <mergeCell ref="A2:A5"/>
    <mergeCell ref="B2:E2"/>
    <mergeCell ref="B3:E3"/>
    <mergeCell ref="B4:E4"/>
    <mergeCell ref="B5:E5"/>
    <mergeCell ref="P7:P9"/>
    <mergeCell ref="N7:N9"/>
    <mergeCell ref="O7:O9"/>
    <mergeCell ref="E7:M7"/>
    <mergeCell ref="C7:D7"/>
  </mergeCells>
  <dataValidations count="8">
    <dataValidation type="list" allowBlank="1" showInputMessage="1" showErrorMessage="1" sqref="E9">
      <formula1>$B$34:$B$38</formula1>
    </dataValidation>
    <dataValidation type="list" allowBlank="1" showInputMessage="1" showErrorMessage="1" sqref="F9">
      <formula1>$B$39:$B$42</formula1>
    </dataValidation>
    <dataValidation type="list" allowBlank="1" showInputMessage="1" showErrorMessage="1" sqref="G9">
      <formula1>$B$43:$B$48</formula1>
    </dataValidation>
    <dataValidation type="list" allowBlank="1" showInputMessage="1" showErrorMessage="1" sqref="H9">
      <formula1>$B$49:$B$53</formula1>
    </dataValidation>
    <dataValidation type="list" allowBlank="1" showInputMessage="1" showErrorMessage="1" sqref="I9">
      <formula1>$B$54:$B$55</formula1>
    </dataValidation>
    <dataValidation type="list" allowBlank="1" showInputMessage="1" showErrorMessage="1" sqref="J9">
      <formula1>$B$56:$B$57</formula1>
    </dataValidation>
    <dataValidation type="list" allowBlank="1" showInputMessage="1" showErrorMessage="1" sqref="K9">
      <formula1>$B$58:$B$59</formula1>
    </dataValidation>
    <dataValidation type="list" allowBlank="1" showInputMessage="1" showErrorMessage="1" sqref="M9">
      <formula1>$B$60:$B$63</formula1>
    </dataValidation>
  </dataValidations>
  <printOptions horizontalCentered="1"/>
  <pageMargins left="0.1968503937007874" right="0.1968503937007874" top="0.1968503937007874" bottom="0.1968503937007874" header="0.1968503937007874" footer="0.1968503937007874"/>
  <pageSetup fitToHeight="0" horizontalDpi="600" verticalDpi="600" orientation="landscape" paperSize="8" r:id="rId2"/>
  <headerFooter>
    <oddFooter>&amp;R6年　&amp;P/&amp;N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F31"/>
  <sheetViews>
    <sheetView zoomScaleSheetLayoutView="100" zoomScalePageLayoutView="0" workbookViewId="0" topLeftCell="A1">
      <selection activeCell="A1" sqref="A1"/>
    </sheetView>
  </sheetViews>
  <sheetFormatPr defaultColWidth="10.7109375" defaultRowHeight="15"/>
  <cols>
    <col min="1" max="1" width="11.8515625" style="59" customWidth="1"/>
    <col min="2" max="24" width="10.7109375" style="54" customWidth="1"/>
    <col min="25" max="16384" width="10.7109375" style="54" customWidth="1"/>
  </cols>
  <sheetData>
    <row r="1" spans="1:9" ht="14.25">
      <c r="A1" s="76" t="s">
        <v>366</v>
      </c>
      <c r="B1" s="69"/>
      <c r="C1" s="69"/>
      <c r="D1" s="69"/>
      <c r="E1" s="69"/>
      <c r="F1" s="53"/>
      <c r="G1" s="53"/>
      <c r="H1" s="53"/>
      <c r="I1" s="53"/>
    </row>
    <row r="2" spans="1:16" s="56" customFormat="1" ht="12.75">
      <c r="A2" s="96" t="s">
        <v>1</v>
      </c>
      <c r="B2" s="99" t="s">
        <v>0</v>
      </c>
      <c r="C2" s="100"/>
      <c r="D2" s="100"/>
      <c r="E2" s="100"/>
      <c r="F2" s="101"/>
      <c r="G2" s="60"/>
      <c r="H2" s="60"/>
      <c r="I2" s="60"/>
      <c r="J2" s="57"/>
      <c r="K2" s="61"/>
      <c r="L2" s="131"/>
      <c r="M2" s="131"/>
      <c r="N2" s="131"/>
      <c r="O2" s="131"/>
      <c r="P2" s="131"/>
    </row>
    <row r="3" spans="1:16" s="56" customFormat="1" ht="12.75">
      <c r="A3" s="97"/>
      <c r="B3" s="102" t="s">
        <v>7</v>
      </c>
      <c r="C3" s="103"/>
      <c r="D3" s="103"/>
      <c r="E3" s="103"/>
      <c r="F3" s="104"/>
      <c r="G3" s="62"/>
      <c r="H3" s="62"/>
      <c r="I3" s="62"/>
      <c r="J3" s="57"/>
      <c r="K3" s="61"/>
      <c r="L3" s="132"/>
      <c r="M3" s="132"/>
      <c r="N3" s="132"/>
      <c r="O3" s="132"/>
      <c r="P3" s="132"/>
    </row>
    <row r="4" spans="1:16" s="56" customFormat="1" ht="12.75">
      <c r="A4" s="97"/>
      <c r="B4" s="105" t="s">
        <v>8</v>
      </c>
      <c r="C4" s="106"/>
      <c r="D4" s="106"/>
      <c r="E4" s="106"/>
      <c r="F4" s="107"/>
      <c r="G4" s="62"/>
      <c r="H4" s="62"/>
      <c r="I4" s="62"/>
      <c r="J4" s="57"/>
      <c r="K4" s="61"/>
      <c r="L4" s="132"/>
      <c r="M4" s="132"/>
      <c r="N4" s="132"/>
      <c r="O4" s="132"/>
      <c r="P4" s="132"/>
    </row>
    <row r="5" spans="1:16" s="56" customFormat="1" ht="12.75">
      <c r="A5" s="98"/>
      <c r="B5" s="108" t="s">
        <v>21</v>
      </c>
      <c r="C5" s="109"/>
      <c r="D5" s="109"/>
      <c r="E5" s="109"/>
      <c r="F5" s="110"/>
      <c r="G5" s="62"/>
      <c r="H5" s="62"/>
      <c r="I5" s="62"/>
      <c r="J5" s="57"/>
      <c r="K5" s="61"/>
      <c r="L5" s="133"/>
      <c r="M5" s="133"/>
      <c r="N5" s="133"/>
      <c r="O5" s="133"/>
      <c r="P5" s="133"/>
    </row>
    <row r="6" spans="11:12" ht="12.75">
      <c r="K6" s="57"/>
      <c r="L6" s="57"/>
    </row>
    <row r="7" spans="1:32" s="15" customFormat="1" ht="9.75" customHeight="1">
      <c r="A7" s="122" t="s">
        <v>196</v>
      </c>
      <c r="B7" s="117" t="s">
        <v>20</v>
      </c>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34"/>
    </row>
    <row r="8" spans="1:32" s="15" customFormat="1" ht="9.75" customHeight="1">
      <c r="A8" s="123"/>
      <c r="B8" s="139" t="s">
        <v>2</v>
      </c>
      <c r="C8" s="137"/>
      <c r="D8" s="137"/>
      <c r="E8" s="137"/>
      <c r="F8" s="136"/>
      <c r="G8" s="135" t="s">
        <v>10</v>
      </c>
      <c r="H8" s="137"/>
      <c r="I8" s="137"/>
      <c r="J8" s="136"/>
      <c r="K8" s="135" t="s">
        <v>3</v>
      </c>
      <c r="L8" s="137"/>
      <c r="M8" s="137"/>
      <c r="N8" s="137"/>
      <c r="O8" s="137"/>
      <c r="P8" s="136"/>
      <c r="Q8" s="135" t="s">
        <v>11</v>
      </c>
      <c r="R8" s="137"/>
      <c r="S8" s="137"/>
      <c r="T8" s="137"/>
      <c r="U8" s="136"/>
      <c r="V8" s="135" t="s">
        <v>4</v>
      </c>
      <c r="W8" s="136"/>
      <c r="X8" s="135" t="s">
        <v>16</v>
      </c>
      <c r="Y8" s="136"/>
      <c r="Z8" s="135" t="s">
        <v>12</v>
      </c>
      <c r="AA8" s="136"/>
      <c r="AB8" s="16" t="s">
        <v>9</v>
      </c>
      <c r="AC8" s="135" t="s">
        <v>15</v>
      </c>
      <c r="AD8" s="137"/>
      <c r="AE8" s="137"/>
      <c r="AF8" s="138"/>
    </row>
    <row r="9" spans="1:32" s="15" customFormat="1" ht="9">
      <c r="A9" s="124"/>
      <c r="B9" s="50" t="s">
        <v>47</v>
      </c>
      <c r="C9" s="49" t="s">
        <v>64</v>
      </c>
      <c r="D9" s="49" t="s">
        <v>74</v>
      </c>
      <c r="E9" s="49" t="s">
        <v>83</v>
      </c>
      <c r="F9" s="49" t="s">
        <v>36</v>
      </c>
      <c r="G9" s="49" t="s">
        <v>37</v>
      </c>
      <c r="H9" s="49" t="s">
        <v>111</v>
      </c>
      <c r="I9" s="49" t="s">
        <v>122</v>
      </c>
      <c r="J9" s="49" t="s">
        <v>128</v>
      </c>
      <c r="K9" s="49" t="s">
        <v>37</v>
      </c>
      <c r="L9" s="49" t="s">
        <v>135</v>
      </c>
      <c r="M9" s="49" t="s">
        <v>140</v>
      </c>
      <c r="N9" s="49" t="s">
        <v>110</v>
      </c>
      <c r="O9" s="49" t="s">
        <v>146</v>
      </c>
      <c r="P9" s="49" t="s">
        <v>128</v>
      </c>
      <c r="Q9" s="49" t="s">
        <v>37</v>
      </c>
      <c r="R9" s="49" t="s">
        <v>135</v>
      </c>
      <c r="S9" s="49" t="s">
        <v>140</v>
      </c>
      <c r="T9" s="49" t="s">
        <v>111</v>
      </c>
      <c r="U9" s="49" t="s">
        <v>171</v>
      </c>
      <c r="V9" s="49" t="s">
        <v>111</v>
      </c>
      <c r="W9" s="49" t="s">
        <v>38</v>
      </c>
      <c r="X9" s="49" t="s">
        <v>184</v>
      </c>
      <c r="Y9" s="49" t="s">
        <v>39</v>
      </c>
      <c r="Z9" s="49" t="s">
        <v>37</v>
      </c>
      <c r="AA9" s="49" t="s">
        <v>40</v>
      </c>
      <c r="AB9" s="49" t="s">
        <v>6</v>
      </c>
      <c r="AC9" s="49" t="s">
        <v>37</v>
      </c>
      <c r="AD9" s="49" t="s">
        <v>185</v>
      </c>
      <c r="AE9" s="49" t="s">
        <v>186</v>
      </c>
      <c r="AF9" s="35" t="s">
        <v>195</v>
      </c>
    </row>
    <row r="10" spans="1:32" s="1" customFormat="1" ht="30" customHeight="1">
      <c r="A10" s="9" t="s">
        <v>316</v>
      </c>
      <c r="B10" s="19" t="s">
        <v>63</v>
      </c>
      <c r="C10" s="20" t="s">
        <v>65</v>
      </c>
      <c r="D10" s="20"/>
      <c r="E10" s="20"/>
      <c r="F10" s="7"/>
      <c r="G10" s="7"/>
      <c r="H10" s="7"/>
      <c r="I10" s="7"/>
      <c r="J10" s="7"/>
      <c r="K10" s="7"/>
      <c r="L10" s="7"/>
      <c r="M10" s="7"/>
      <c r="N10" s="7"/>
      <c r="O10" s="7"/>
      <c r="P10" s="7"/>
      <c r="Q10" s="7"/>
      <c r="R10" s="7"/>
      <c r="S10" s="7"/>
      <c r="T10" s="7"/>
      <c r="U10" s="7"/>
      <c r="V10" s="7"/>
      <c r="W10" s="7"/>
      <c r="X10" s="7"/>
      <c r="Y10" s="7"/>
      <c r="Z10" s="7" t="s">
        <v>295</v>
      </c>
      <c r="AA10" s="6"/>
      <c r="AB10" s="5"/>
      <c r="AC10" s="5"/>
      <c r="AD10" s="5"/>
      <c r="AE10" s="5"/>
      <c r="AF10" s="23"/>
    </row>
    <row r="11" spans="1:32" s="1" customFormat="1" ht="36.75" customHeight="1">
      <c r="A11" s="9" t="s">
        <v>317</v>
      </c>
      <c r="B11" s="19" t="s">
        <v>61</v>
      </c>
      <c r="C11" s="20"/>
      <c r="D11" s="20" t="s">
        <v>75</v>
      </c>
      <c r="E11" s="20" t="s">
        <v>87</v>
      </c>
      <c r="F11" s="7" t="s">
        <v>101</v>
      </c>
      <c r="G11" s="7"/>
      <c r="H11" s="7"/>
      <c r="I11" s="7"/>
      <c r="J11" s="7"/>
      <c r="K11" s="7"/>
      <c r="L11" s="7"/>
      <c r="M11" s="7"/>
      <c r="N11" s="7"/>
      <c r="O11" s="7"/>
      <c r="P11" s="7"/>
      <c r="Q11" s="7"/>
      <c r="R11" s="7"/>
      <c r="S11" s="7"/>
      <c r="T11" s="7"/>
      <c r="U11" s="7"/>
      <c r="V11" s="7"/>
      <c r="W11" s="7" t="s">
        <v>183</v>
      </c>
      <c r="X11" s="7"/>
      <c r="Y11" s="7"/>
      <c r="Z11" s="7"/>
      <c r="AA11" s="6"/>
      <c r="AB11" s="5"/>
      <c r="AC11" s="5"/>
      <c r="AD11" s="5"/>
      <c r="AE11" s="5"/>
      <c r="AF11" s="23"/>
    </row>
    <row r="12" spans="1:32" s="1" customFormat="1" ht="99.75" customHeight="1">
      <c r="A12" s="14" t="s">
        <v>318</v>
      </c>
      <c r="B12" s="19" t="s">
        <v>51</v>
      </c>
      <c r="C12" s="20"/>
      <c r="D12" s="20"/>
      <c r="E12" s="20"/>
      <c r="F12" s="7" t="s">
        <v>96</v>
      </c>
      <c r="G12" s="7"/>
      <c r="H12" s="7"/>
      <c r="I12" s="7"/>
      <c r="J12" s="7"/>
      <c r="K12" s="7"/>
      <c r="L12" s="7"/>
      <c r="M12" s="7"/>
      <c r="N12" s="7"/>
      <c r="O12" s="7"/>
      <c r="P12" s="7"/>
      <c r="Q12" s="7" t="s">
        <v>197</v>
      </c>
      <c r="R12" s="7" t="s">
        <v>159</v>
      </c>
      <c r="S12" s="7" t="s">
        <v>163</v>
      </c>
      <c r="T12" s="7" t="s">
        <v>169</v>
      </c>
      <c r="U12" s="7" t="s">
        <v>174</v>
      </c>
      <c r="V12" s="7"/>
      <c r="W12" s="7"/>
      <c r="X12" s="7" t="s">
        <v>269</v>
      </c>
      <c r="Y12" s="7"/>
      <c r="Z12" s="7" t="s">
        <v>313</v>
      </c>
      <c r="AA12" s="6" t="s">
        <v>301</v>
      </c>
      <c r="AB12" s="5"/>
      <c r="AC12" s="5" t="s">
        <v>187</v>
      </c>
      <c r="AD12" s="5" t="s">
        <v>306</v>
      </c>
      <c r="AE12" s="5" t="s">
        <v>198</v>
      </c>
      <c r="AF12" s="23" t="s">
        <v>307</v>
      </c>
    </row>
    <row r="13" spans="1:32" s="1" customFormat="1" ht="187.5" customHeight="1">
      <c r="A13" s="9" t="s">
        <v>319</v>
      </c>
      <c r="B13" s="19" t="s">
        <v>62</v>
      </c>
      <c r="C13" s="20"/>
      <c r="D13" s="20" t="s">
        <v>82</v>
      </c>
      <c r="E13" s="20" t="s">
        <v>88</v>
      </c>
      <c r="F13" s="7" t="s">
        <v>102</v>
      </c>
      <c r="G13" s="7"/>
      <c r="H13" s="7"/>
      <c r="I13" s="7"/>
      <c r="J13" s="7"/>
      <c r="K13" s="7"/>
      <c r="L13" s="7"/>
      <c r="M13" s="7"/>
      <c r="N13" s="7"/>
      <c r="O13" s="7"/>
      <c r="P13" s="7"/>
      <c r="Q13" s="7"/>
      <c r="R13" s="7"/>
      <c r="S13" s="7"/>
      <c r="T13" s="7"/>
      <c r="U13" s="7"/>
      <c r="V13" s="7"/>
      <c r="W13" s="7"/>
      <c r="X13" s="7" t="s">
        <v>290</v>
      </c>
      <c r="Y13" s="6" t="s">
        <v>284</v>
      </c>
      <c r="Z13" s="6" t="s">
        <v>296</v>
      </c>
      <c r="AA13" s="6"/>
      <c r="AB13" s="5"/>
      <c r="AC13" s="5"/>
      <c r="AD13" s="5"/>
      <c r="AE13" s="5"/>
      <c r="AF13" s="23"/>
    </row>
    <row r="14" spans="1:32" s="1" customFormat="1" ht="161.25" customHeight="1">
      <c r="A14" s="9" t="s">
        <v>320</v>
      </c>
      <c r="B14" s="19" t="s">
        <v>199</v>
      </c>
      <c r="C14" s="20" t="s">
        <v>66</v>
      </c>
      <c r="D14" s="20" t="s">
        <v>78</v>
      </c>
      <c r="E14" s="20" t="s">
        <v>95</v>
      </c>
      <c r="F14" s="7" t="s">
        <v>200</v>
      </c>
      <c r="G14" s="7" t="s">
        <v>107</v>
      </c>
      <c r="H14" s="7" t="s">
        <v>116</v>
      </c>
      <c r="I14" s="7" t="s">
        <v>201</v>
      </c>
      <c r="J14" s="7" t="s">
        <v>202</v>
      </c>
      <c r="K14" s="7"/>
      <c r="L14" s="7" t="s">
        <v>139</v>
      </c>
      <c r="M14" s="7" t="s">
        <v>203</v>
      </c>
      <c r="N14" s="7" t="s">
        <v>204</v>
      </c>
      <c r="O14" s="7" t="s">
        <v>205</v>
      </c>
      <c r="P14" s="7" t="s">
        <v>150</v>
      </c>
      <c r="Q14" s="7"/>
      <c r="R14" s="7"/>
      <c r="S14" s="7" t="s">
        <v>152</v>
      </c>
      <c r="T14" s="7"/>
      <c r="U14" s="7"/>
      <c r="V14" s="7"/>
      <c r="W14" s="7" t="s">
        <v>180</v>
      </c>
      <c r="X14" s="7" t="s">
        <v>291</v>
      </c>
      <c r="Y14" s="7" t="s">
        <v>278</v>
      </c>
      <c r="Z14" s="7" t="s">
        <v>297</v>
      </c>
      <c r="AA14" s="6"/>
      <c r="AB14" s="5" t="s">
        <v>35</v>
      </c>
      <c r="AC14" s="5"/>
      <c r="AD14" s="5"/>
      <c r="AE14" s="5"/>
      <c r="AF14" s="23"/>
    </row>
    <row r="15" spans="1:32" s="1" customFormat="1" ht="162.75" customHeight="1">
      <c r="A15" s="9" t="s">
        <v>321</v>
      </c>
      <c r="B15" s="19" t="s">
        <v>58</v>
      </c>
      <c r="C15" s="20" t="s">
        <v>206</v>
      </c>
      <c r="D15" s="20" t="s">
        <v>207</v>
      </c>
      <c r="E15" s="20" t="s">
        <v>91</v>
      </c>
      <c r="F15" s="7" t="s">
        <v>103</v>
      </c>
      <c r="G15" s="7" t="s">
        <v>106</v>
      </c>
      <c r="H15" s="7" t="s">
        <v>113</v>
      </c>
      <c r="I15" s="7" t="s">
        <v>124</v>
      </c>
      <c r="J15" s="7" t="s">
        <v>208</v>
      </c>
      <c r="K15" s="7" t="s">
        <v>134</v>
      </c>
      <c r="L15" s="7" t="s">
        <v>137</v>
      </c>
      <c r="M15" s="7" t="s">
        <v>141</v>
      </c>
      <c r="N15" s="7" t="s">
        <v>144</v>
      </c>
      <c r="O15" s="7" t="s">
        <v>147</v>
      </c>
      <c r="P15" s="7" t="s">
        <v>149</v>
      </c>
      <c r="Q15" s="7" t="s">
        <v>154</v>
      </c>
      <c r="R15" s="7" t="s">
        <v>209</v>
      </c>
      <c r="S15" s="7" t="s">
        <v>162</v>
      </c>
      <c r="T15" s="7" t="s">
        <v>168</v>
      </c>
      <c r="U15" s="7" t="s">
        <v>173</v>
      </c>
      <c r="V15" s="7" t="s">
        <v>210</v>
      </c>
      <c r="W15" s="7" t="s">
        <v>211</v>
      </c>
      <c r="X15" s="7" t="s">
        <v>292</v>
      </c>
      <c r="Y15" s="7" t="s">
        <v>276</v>
      </c>
      <c r="Z15" s="7" t="s">
        <v>315</v>
      </c>
      <c r="AA15" s="6" t="s">
        <v>314</v>
      </c>
      <c r="AB15" s="5"/>
      <c r="AC15" s="5"/>
      <c r="AD15" s="5"/>
      <c r="AE15" s="5"/>
      <c r="AF15" s="23"/>
    </row>
    <row r="16" spans="1:32" s="1" customFormat="1" ht="125.25" customHeight="1">
      <c r="A16" s="9" t="s">
        <v>322</v>
      </c>
      <c r="B16" s="19" t="s">
        <v>60</v>
      </c>
      <c r="C16" s="20" t="s">
        <v>212</v>
      </c>
      <c r="D16" s="20"/>
      <c r="E16" s="20" t="s">
        <v>213</v>
      </c>
      <c r="F16" s="7" t="s">
        <v>214</v>
      </c>
      <c r="G16" s="7"/>
      <c r="H16" s="7"/>
      <c r="I16" s="7"/>
      <c r="J16" s="7"/>
      <c r="K16" s="7"/>
      <c r="L16" s="7"/>
      <c r="M16" s="7"/>
      <c r="N16" s="7"/>
      <c r="O16" s="7"/>
      <c r="P16" s="7"/>
      <c r="Q16" s="7"/>
      <c r="R16" s="7"/>
      <c r="S16" s="7"/>
      <c r="T16" s="7"/>
      <c r="U16" s="7"/>
      <c r="V16" s="7"/>
      <c r="W16" s="7"/>
      <c r="X16" s="7"/>
      <c r="Y16" s="7"/>
      <c r="Z16" s="7" t="s">
        <v>296</v>
      </c>
      <c r="AA16" s="6"/>
      <c r="AB16" s="5"/>
      <c r="AC16" s="5" t="s">
        <v>308</v>
      </c>
      <c r="AD16" s="5" t="s">
        <v>309</v>
      </c>
      <c r="AE16" s="5" t="s">
        <v>198</v>
      </c>
      <c r="AF16" s="23" t="s">
        <v>187</v>
      </c>
    </row>
    <row r="17" spans="1:32" s="1" customFormat="1" ht="74.25" customHeight="1">
      <c r="A17" s="9" t="s">
        <v>323</v>
      </c>
      <c r="B17" s="19" t="s">
        <v>56</v>
      </c>
      <c r="C17" s="20"/>
      <c r="D17" s="20"/>
      <c r="E17" s="20" t="s">
        <v>94</v>
      </c>
      <c r="F17" s="7" t="s">
        <v>98</v>
      </c>
      <c r="G17" s="7"/>
      <c r="H17" s="7"/>
      <c r="I17" s="7"/>
      <c r="J17" s="7"/>
      <c r="K17" s="7"/>
      <c r="L17" s="7"/>
      <c r="M17" s="7"/>
      <c r="N17" s="7"/>
      <c r="O17" s="7"/>
      <c r="P17" s="7"/>
      <c r="Q17" s="7"/>
      <c r="R17" s="7" t="s">
        <v>155</v>
      </c>
      <c r="S17" s="7"/>
      <c r="T17" s="7"/>
      <c r="U17" s="7"/>
      <c r="V17" s="7"/>
      <c r="W17" s="7"/>
      <c r="X17" s="7"/>
      <c r="Y17" s="7"/>
      <c r="Z17" s="7" t="s">
        <v>296</v>
      </c>
      <c r="AA17" s="6" t="s">
        <v>302</v>
      </c>
      <c r="AB17" s="5"/>
      <c r="AC17" s="5"/>
      <c r="AD17" s="5"/>
      <c r="AE17" s="5"/>
      <c r="AF17" s="23"/>
    </row>
    <row r="18" spans="1:32" s="1" customFormat="1" ht="43.5" customHeight="1">
      <c r="A18" s="9" t="s">
        <v>324</v>
      </c>
      <c r="B18" s="19" t="s">
        <v>215</v>
      </c>
      <c r="C18" s="20"/>
      <c r="D18" s="20" t="s">
        <v>85</v>
      </c>
      <c r="E18" s="20" t="s">
        <v>86</v>
      </c>
      <c r="F18" s="7" t="s">
        <v>99</v>
      </c>
      <c r="G18" s="7"/>
      <c r="H18" s="7" t="s">
        <v>112</v>
      </c>
      <c r="I18" s="7" t="s">
        <v>123</v>
      </c>
      <c r="J18" s="7" t="s">
        <v>216</v>
      </c>
      <c r="K18" s="7"/>
      <c r="L18" s="7"/>
      <c r="M18" s="7"/>
      <c r="N18" s="7"/>
      <c r="O18" s="7"/>
      <c r="P18" s="7"/>
      <c r="Q18" s="7"/>
      <c r="R18" s="7"/>
      <c r="S18" s="7"/>
      <c r="T18" s="7"/>
      <c r="U18" s="7"/>
      <c r="V18" s="7"/>
      <c r="W18" s="7"/>
      <c r="X18" s="7"/>
      <c r="Y18" s="7"/>
      <c r="Z18" s="7" t="s">
        <v>296</v>
      </c>
      <c r="AA18" s="6" t="s">
        <v>303</v>
      </c>
      <c r="AB18" s="5"/>
      <c r="AC18" s="5"/>
      <c r="AD18" s="5"/>
      <c r="AE18" s="5"/>
      <c r="AF18" s="23"/>
    </row>
    <row r="19" spans="1:32" s="1" customFormat="1" ht="213" customHeight="1">
      <c r="A19" s="9" t="s">
        <v>325</v>
      </c>
      <c r="B19" s="19" t="s">
        <v>53</v>
      </c>
      <c r="C19" s="20" t="s">
        <v>72</v>
      </c>
      <c r="D19" s="20" t="s">
        <v>188</v>
      </c>
      <c r="E19" s="20" t="s">
        <v>90</v>
      </c>
      <c r="F19" s="7" t="s">
        <v>217</v>
      </c>
      <c r="G19" s="7" t="s">
        <v>218</v>
      </c>
      <c r="H19" s="7" t="s">
        <v>115</v>
      </c>
      <c r="I19" s="7"/>
      <c r="J19" s="7"/>
      <c r="K19" s="7"/>
      <c r="L19" s="7" t="s">
        <v>136</v>
      </c>
      <c r="M19" s="7"/>
      <c r="N19" s="7"/>
      <c r="O19" s="7"/>
      <c r="P19" s="7"/>
      <c r="Q19" s="7"/>
      <c r="R19" s="7"/>
      <c r="S19" s="7"/>
      <c r="T19" s="7" t="s">
        <v>166</v>
      </c>
      <c r="U19" s="7"/>
      <c r="V19" s="7" t="s">
        <v>177</v>
      </c>
      <c r="W19" s="7" t="s">
        <v>178</v>
      </c>
      <c r="X19" s="7" t="s">
        <v>270</v>
      </c>
      <c r="Y19" s="7"/>
      <c r="Z19" s="7"/>
      <c r="AA19" s="6"/>
      <c r="AB19" s="5" t="s">
        <v>42</v>
      </c>
      <c r="AC19" s="5"/>
      <c r="AD19" s="5"/>
      <c r="AE19" s="5"/>
      <c r="AF19" s="23"/>
    </row>
    <row r="20" spans="1:32" s="1" customFormat="1" ht="47.25" customHeight="1">
      <c r="A20" s="9" t="s">
        <v>326</v>
      </c>
      <c r="B20" s="19" t="s">
        <v>50</v>
      </c>
      <c r="C20" s="20" t="s">
        <v>219</v>
      </c>
      <c r="D20" s="20" t="s">
        <v>220</v>
      </c>
      <c r="E20" s="20"/>
      <c r="F20" s="7" t="s">
        <v>97</v>
      </c>
      <c r="G20" s="7"/>
      <c r="H20" s="7"/>
      <c r="I20" s="7" t="s">
        <v>126</v>
      </c>
      <c r="J20" s="7"/>
      <c r="K20" s="7"/>
      <c r="L20" s="7"/>
      <c r="M20" s="7"/>
      <c r="N20" s="7"/>
      <c r="O20" s="7"/>
      <c r="P20" s="7"/>
      <c r="Q20" s="7"/>
      <c r="R20" s="7"/>
      <c r="S20" s="7"/>
      <c r="T20" s="7"/>
      <c r="U20" s="7"/>
      <c r="V20" s="7"/>
      <c r="W20" s="7"/>
      <c r="X20" s="7" t="s">
        <v>266</v>
      </c>
      <c r="Y20" s="7"/>
      <c r="Z20" s="7"/>
      <c r="AA20" s="6"/>
      <c r="AB20" s="5"/>
      <c r="AC20" s="5"/>
      <c r="AD20" s="5"/>
      <c r="AE20" s="5"/>
      <c r="AF20" s="23"/>
    </row>
    <row r="21" spans="1:32" s="1" customFormat="1" ht="250.5" customHeight="1">
      <c r="A21" s="9" t="s">
        <v>327</v>
      </c>
      <c r="B21" s="19" t="s">
        <v>48</v>
      </c>
      <c r="C21" s="20" t="s">
        <v>68</v>
      </c>
      <c r="D21" s="20"/>
      <c r="E21" s="20" t="s">
        <v>221</v>
      </c>
      <c r="F21" s="7"/>
      <c r="G21" s="7" t="s">
        <v>222</v>
      </c>
      <c r="H21" s="7" t="s">
        <v>118</v>
      </c>
      <c r="I21" s="7" t="s">
        <v>223</v>
      </c>
      <c r="J21" s="7" t="s">
        <v>133</v>
      </c>
      <c r="K21" s="7" t="s">
        <v>224</v>
      </c>
      <c r="L21" s="7" t="s">
        <v>225</v>
      </c>
      <c r="M21" s="7" t="s">
        <v>143</v>
      </c>
      <c r="N21" s="7" t="s">
        <v>226</v>
      </c>
      <c r="O21" s="7" t="s">
        <v>148</v>
      </c>
      <c r="P21" s="7" t="s">
        <v>151</v>
      </c>
      <c r="Q21" s="7" t="s">
        <v>227</v>
      </c>
      <c r="R21" s="7" t="s">
        <v>158</v>
      </c>
      <c r="S21" s="7" t="s">
        <v>165</v>
      </c>
      <c r="T21" s="7"/>
      <c r="U21" s="7"/>
      <c r="V21" s="7"/>
      <c r="W21" s="7"/>
      <c r="X21" s="7" t="s">
        <v>268</v>
      </c>
      <c r="Y21" s="7"/>
      <c r="Z21" s="7"/>
      <c r="AA21" s="6" t="s">
        <v>303</v>
      </c>
      <c r="AB21" s="5" t="s">
        <v>228</v>
      </c>
      <c r="AC21" s="5" t="s">
        <v>310</v>
      </c>
      <c r="AD21" s="5" t="s">
        <v>311</v>
      </c>
      <c r="AE21" s="5" t="s">
        <v>187</v>
      </c>
      <c r="AF21" s="23" t="s">
        <v>187</v>
      </c>
    </row>
    <row r="22" spans="1:32" s="1" customFormat="1" ht="115.5" customHeight="1">
      <c r="A22" s="9" t="s">
        <v>328</v>
      </c>
      <c r="B22" s="19" t="s">
        <v>49</v>
      </c>
      <c r="C22" s="20"/>
      <c r="D22" s="20" t="s">
        <v>80</v>
      </c>
      <c r="E22" s="20" t="s">
        <v>89</v>
      </c>
      <c r="F22" s="7" t="s">
        <v>229</v>
      </c>
      <c r="G22" s="6" t="s">
        <v>109</v>
      </c>
      <c r="H22" s="6" t="s">
        <v>120</v>
      </c>
      <c r="I22" s="6" t="s">
        <v>230</v>
      </c>
      <c r="J22" s="6" t="s">
        <v>132</v>
      </c>
      <c r="K22" s="7"/>
      <c r="L22" s="7"/>
      <c r="M22" s="7"/>
      <c r="N22" s="7"/>
      <c r="O22" s="7"/>
      <c r="P22" s="7"/>
      <c r="Q22" s="7"/>
      <c r="R22" s="7"/>
      <c r="S22" s="7"/>
      <c r="T22" s="7"/>
      <c r="U22" s="7"/>
      <c r="V22" s="7"/>
      <c r="W22" s="7"/>
      <c r="X22" s="7"/>
      <c r="Y22" s="7"/>
      <c r="Z22" s="7"/>
      <c r="AA22" s="6"/>
      <c r="AB22" s="5"/>
      <c r="AC22" s="5"/>
      <c r="AD22" s="5"/>
      <c r="AE22" s="5"/>
      <c r="AF22" s="23"/>
    </row>
    <row r="23" spans="1:32" s="1" customFormat="1" ht="33">
      <c r="A23" s="9" t="s">
        <v>329</v>
      </c>
      <c r="B23" s="19" t="s">
        <v>57</v>
      </c>
      <c r="C23" s="20" t="s">
        <v>231</v>
      </c>
      <c r="D23" s="20"/>
      <c r="E23" s="20"/>
      <c r="F23" s="7"/>
      <c r="G23" s="7" t="s">
        <v>108</v>
      </c>
      <c r="H23" s="7" t="s">
        <v>117</v>
      </c>
      <c r="I23" s="7"/>
      <c r="J23" s="7"/>
      <c r="K23" s="7"/>
      <c r="L23" s="7"/>
      <c r="M23" s="7"/>
      <c r="N23" s="7"/>
      <c r="O23" s="7"/>
      <c r="P23" s="7"/>
      <c r="Q23" s="7"/>
      <c r="R23" s="7"/>
      <c r="S23" s="7"/>
      <c r="T23" s="7"/>
      <c r="U23" s="7"/>
      <c r="V23" s="7"/>
      <c r="W23" s="7"/>
      <c r="X23" s="7"/>
      <c r="Y23" s="7"/>
      <c r="Z23" s="7"/>
      <c r="AA23" s="6"/>
      <c r="AB23" s="5"/>
      <c r="AC23" s="5"/>
      <c r="AD23" s="5"/>
      <c r="AE23" s="5"/>
      <c r="AF23" s="23"/>
    </row>
    <row r="24" spans="1:32" s="1" customFormat="1" ht="58.5">
      <c r="A24" s="9" t="s">
        <v>330</v>
      </c>
      <c r="B24" s="19" t="s">
        <v>232</v>
      </c>
      <c r="C24" s="20" t="s">
        <v>233</v>
      </c>
      <c r="D24" s="20"/>
      <c r="E24" s="20" t="s">
        <v>84</v>
      </c>
      <c r="F24" s="7" t="s">
        <v>234</v>
      </c>
      <c r="G24" s="7"/>
      <c r="H24" s="7"/>
      <c r="I24" s="7"/>
      <c r="J24" s="7"/>
      <c r="K24" s="7"/>
      <c r="L24" s="7"/>
      <c r="M24" s="7"/>
      <c r="N24" s="7"/>
      <c r="O24" s="7"/>
      <c r="P24" s="7"/>
      <c r="Q24" s="7"/>
      <c r="R24" s="7"/>
      <c r="S24" s="7"/>
      <c r="T24" s="7"/>
      <c r="U24" s="7"/>
      <c r="V24" s="7"/>
      <c r="W24" s="7"/>
      <c r="X24" s="7"/>
      <c r="Y24" s="7"/>
      <c r="Z24" s="7" t="s">
        <v>298</v>
      </c>
      <c r="AA24" s="6" t="s">
        <v>304</v>
      </c>
      <c r="AB24" s="5"/>
      <c r="AC24" s="5"/>
      <c r="AD24" s="5"/>
      <c r="AE24" s="5"/>
      <c r="AF24" s="23"/>
    </row>
    <row r="25" spans="1:32" s="1" customFormat="1" ht="171" customHeight="1">
      <c r="A25" s="9" t="s">
        <v>331</v>
      </c>
      <c r="B25" s="19" t="s">
        <v>286</v>
      </c>
      <c r="C25" s="20" t="s">
        <v>69</v>
      </c>
      <c r="D25" s="20" t="s">
        <v>79</v>
      </c>
      <c r="E25" s="20" t="s">
        <v>287</v>
      </c>
      <c r="F25" s="7" t="s">
        <v>100</v>
      </c>
      <c r="G25" s="7" t="s">
        <v>108</v>
      </c>
      <c r="H25" s="7" t="s">
        <v>119</v>
      </c>
      <c r="I25" s="7" t="s">
        <v>125</v>
      </c>
      <c r="J25" s="7" t="s">
        <v>132</v>
      </c>
      <c r="K25" s="7"/>
      <c r="L25" s="7" t="s">
        <v>138</v>
      </c>
      <c r="M25" s="7" t="s">
        <v>142</v>
      </c>
      <c r="N25" s="7" t="s">
        <v>145</v>
      </c>
      <c r="O25" s="7" t="s">
        <v>145</v>
      </c>
      <c r="P25" s="7" t="s">
        <v>152</v>
      </c>
      <c r="Q25" s="7"/>
      <c r="R25" s="7"/>
      <c r="S25" s="7" t="s">
        <v>164</v>
      </c>
      <c r="T25" s="7"/>
      <c r="U25" s="7"/>
      <c r="V25" s="7"/>
      <c r="W25" s="7" t="s">
        <v>179</v>
      </c>
      <c r="X25" s="7" t="s">
        <v>265</v>
      </c>
      <c r="Y25" s="7" t="s">
        <v>273</v>
      </c>
      <c r="Z25" s="7"/>
      <c r="AA25" s="6"/>
      <c r="AB25" s="5" t="s">
        <v>43</v>
      </c>
      <c r="AC25" s="5"/>
      <c r="AD25" s="5"/>
      <c r="AE25" s="5"/>
      <c r="AF25" s="23"/>
    </row>
    <row r="26" spans="1:32" s="1" customFormat="1" ht="206.25" customHeight="1">
      <c r="A26" s="9" t="s">
        <v>332</v>
      </c>
      <c r="B26" s="19" t="s">
        <v>55</v>
      </c>
      <c r="C26" s="20" t="s">
        <v>67</v>
      </c>
      <c r="D26" s="20" t="s">
        <v>77</v>
      </c>
      <c r="E26" s="20" t="s">
        <v>92</v>
      </c>
      <c r="F26" s="7" t="s">
        <v>192</v>
      </c>
      <c r="G26" s="7" t="s">
        <v>235</v>
      </c>
      <c r="H26" s="7" t="s">
        <v>236</v>
      </c>
      <c r="I26" s="7" t="s">
        <v>127</v>
      </c>
      <c r="J26" s="7" t="s">
        <v>130</v>
      </c>
      <c r="K26" s="7"/>
      <c r="L26" s="7"/>
      <c r="M26" s="7"/>
      <c r="N26" s="7"/>
      <c r="O26" s="7"/>
      <c r="P26" s="7"/>
      <c r="Q26" s="7"/>
      <c r="R26" s="7"/>
      <c r="S26" s="7"/>
      <c r="T26" s="7"/>
      <c r="U26" s="7"/>
      <c r="V26" s="7" t="s">
        <v>237</v>
      </c>
      <c r="W26" s="7" t="s">
        <v>181</v>
      </c>
      <c r="X26" s="7" t="s">
        <v>267</v>
      </c>
      <c r="Y26" s="7" t="s">
        <v>275</v>
      </c>
      <c r="Z26" s="7" t="s">
        <v>299</v>
      </c>
      <c r="AA26" s="6"/>
      <c r="AB26" s="5"/>
      <c r="AC26" s="5"/>
      <c r="AD26" s="5"/>
      <c r="AE26" s="5"/>
      <c r="AF26" s="23"/>
    </row>
    <row r="27" spans="1:32" s="1" customFormat="1" ht="142.5" customHeight="1">
      <c r="A27" s="24" t="s">
        <v>333</v>
      </c>
      <c r="B27" s="25" t="s">
        <v>54</v>
      </c>
      <c r="C27" s="26" t="s">
        <v>70</v>
      </c>
      <c r="D27" s="26" t="s">
        <v>76</v>
      </c>
      <c r="E27" s="26"/>
      <c r="F27" s="27" t="s">
        <v>105</v>
      </c>
      <c r="G27" s="27" t="s">
        <v>238</v>
      </c>
      <c r="H27" s="27" t="s">
        <v>239</v>
      </c>
      <c r="I27" s="27" t="s">
        <v>240</v>
      </c>
      <c r="J27" s="27" t="s">
        <v>241</v>
      </c>
      <c r="K27" s="27"/>
      <c r="L27" s="27"/>
      <c r="M27" s="27"/>
      <c r="N27" s="27"/>
      <c r="O27" s="27"/>
      <c r="P27" s="27"/>
      <c r="Q27" s="27"/>
      <c r="R27" s="27"/>
      <c r="S27" s="27"/>
      <c r="T27" s="27"/>
      <c r="U27" s="27"/>
      <c r="V27" s="27"/>
      <c r="W27" s="27"/>
      <c r="X27" s="27"/>
      <c r="Y27" s="27"/>
      <c r="Z27" s="27"/>
      <c r="AA27" s="28"/>
      <c r="AB27" s="29" t="s">
        <v>44</v>
      </c>
      <c r="AC27" s="29"/>
      <c r="AD27" s="29"/>
      <c r="AE27" s="29"/>
      <c r="AF27" s="30"/>
    </row>
    <row r="28" spans="1:32" s="1" customFormat="1" ht="96.75" customHeight="1">
      <c r="A28" s="9" t="s">
        <v>334</v>
      </c>
      <c r="B28" s="19" t="s">
        <v>59</v>
      </c>
      <c r="C28" s="20" t="s">
        <v>73</v>
      </c>
      <c r="D28" s="20" t="s">
        <v>242</v>
      </c>
      <c r="E28" s="20" t="s">
        <v>243</v>
      </c>
      <c r="F28" s="7" t="s">
        <v>104</v>
      </c>
      <c r="G28" s="7" t="s">
        <v>244</v>
      </c>
      <c r="H28" s="7" t="s">
        <v>114</v>
      </c>
      <c r="I28" s="7" t="s">
        <v>245</v>
      </c>
      <c r="J28" s="7" t="s">
        <v>131</v>
      </c>
      <c r="K28" s="7"/>
      <c r="L28" s="7"/>
      <c r="M28" s="7"/>
      <c r="N28" s="7"/>
      <c r="O28" s="7"/>
      <c r="P28" s="7"/>
      <c r="Q28" s="7" t="s">
        <v>246</v>
      </c>
      <c r="R28" s="7" t="s">
        <v>156</v>
      </c>
      <c r="S28" s="7" t="s">
        <v>161</v>
      </c>
      <c r="T28" s="7" t="s">
        <v>167</v>
      </c>
      <c r="U28" s="7" t="s">
        <v>172</v>
      </c>
      <c r="V28" s="7"/>
      <c r="W28" s="7"/>
      <c r="X28" s="7"/>
      <c r="Y28" s="7"/>
      <c r="Z28" s="7"/>
      <c r="AA28" s="6"/>
      <c r="AB28" s="5"/>
      <c r="AC28" s="5" t="s">
        <v>187</v>
      </c>
      <c r="AD28" s="5" t="s">
        <v>312</v>
      </c>
      <c r="AE28" s="5" t="s">
        <v>187</v>
      </c>
      <c r="AF28" s="23" t="s">
        <v>187</v>
      </c>
    </row>
    <row r="29" spans="1:32" s="1" customFormat="1" ht="153" customHeight="1">
      <c r="A29" s="9" t="s">
        <v>335</v>
      </c>
      <c r="B29" s="19" t="s">
        <v>52</v>
      </c>
      <c r="C29" s="20" t="s">
        <v>71</v>
      </c>
      <c r="D29" s="20" t="s">
        <v>247</v>
      </c>
      <c r="E29" s="20" t="s">
        <v>93</v>
      </c>
      <c r="F29" s="7" t="s">
        <v>248</v>
      </c>
      <c r="G29" s="7" t="s">
        <v>249</v>
      </c>
      <c r="H29" s="7" t="s">
        <v>121</v>
      </c>
      <c r="I29" s="7"/>
      <c r="J29" s="7" t="s">
        <v>250</v>
      </c>
      <c r="K29" s="7"/>
      <c r="L29" s="7"/>
      <c r="M29" s="7"/>
      <c r="N29" s="7"/>
      <c r="O29" s="7"/>
      <c r="P29" s="7"/>
      <c r="Q29" s="7" t="s">
        <v>251</v>
      </c>
      <c r="R29" s="7" t="s">
        <v>160</v>
      </c>
      <c r="S29" s="7" t="s">
        <v>252</v>
      </c>
      <c r="T29" s="7" t="s">
        <v>170</v>
      </c>
      <c r="U29" s="7" t="s">
        <v>175</v>
      </c>
      <c r="V29" s="7"/>
      <c r="W29" s="7"/>
      <c r="X29" s="7" t="s">
        <v>293</v>
      </c>
      <c r="Y29" s="7" t="s">
        <v>272</v>
      </c>
      <c r="Z29" s="7" t="s">
        <v>300</v>
      </c>
      <c r="AA29" s="6" t="s">
        <v>305</v>
      </c>
      <c r="AB29" s="5" t="s">
        <v>253</v>
      </c>
      <c r="AC29" s="5"/>
      <c r="AD29" s="5"/>
      <c r="AE29" s="5"/>
      <c r="AF29" s="23"/>
    </row>
    <row r="30" spans="1:32" s="1" customFormat="1" ht="88.5" customHeight="1">
      <c r="A30" s="9" t="s">
        <v>336</v>
      </c>
      <c r="B30" s="19" t="s">
        <v>260</v>
      </c>
      <c r="C30" s="20" t="s">
        <v>254</v>
      </c>
      <c r="D30" s="20" t="s">
        <v>81</v>
      </c>
      <c r="E30" s="20" t="s">
        <v>255</v>
      </c>
      <c r="F30" s="7" t="s">
        <v>256</v>
      </c>
      <c r="G30" s="7"/>
      <c r="H30" s="7" t="s">
        <v>257</v>
      </c>
      <c r="I30" s="7" t="s">
        <v>258</v>
      </c>
      <c r="J30" s="7" t="s">
        <v>129</v>
      </c>
      <c r="K30" s="7"/>
      <c r="L30" s="7"/>
      <c r="M30" s="7"/>
      <c r="N30" s="7"/>
      <c r="O30" s="7"/>
      <c r="P30" s="7"/>
      <c r="Q30" s="7" t="s">
        <v>153</v>
      </c>
      <c r="R30" s="7" t="s">
        <v>157</v>
      </c>
      <c r="S30" s="7" t="s">
        <v>193</v>
      </c>
      <c r="T30" s="7" t="s">
        <v>194</v>
      </c>
      <c r="U30" s="7"/>
      <c r="V30" s="7" t="s">
        <v>176</v>
      </c>
      <c r="W30" s="7" t="s">
        <v>182</v>
      </c>
      <c r="X30" s="7" t="s">
        <v>294</v>
      </c>
      <c r="Y30" s="7" t="s">
        <v>274</v>
      </c>
      <c r="Z30" s="7"/>
      <c r="AA30" s="6"/>
      <c r="AB30" s="5"/>
      <c r="AC30" s="5"/>
      <c r="AD30" s="5"/>
      <c r="AE30" s="5"/>
      <c r="AF30" s="23"/>
    </row>
    <row r="31" spans="1:32" ht="38.25" customHeight="1">
      <c r="A31" s="44" t="s">
        <v>337</v>
      </c>
      <c r="B31" s="63" t="s">
        <v>261</v>
      </c>
      <c r="C31" s="45"/>
      <c r="D31" s="45"/>
      <c r="E31" s="45" t="s">
        <v>262</v>
      </c>
      <c r="F31" s="46" t="s">
        <v>263</v>
      </c>
      <c r="G31" s="46"/>
      <c r="H31" s="46"/>
      <c r="I31" s="46"/>
      <c r="J31" s="46"/>
      <c r="K31" s="46"/>
      <c r="L31" s="46"/>
      <c r="M31" s="46"/>
      <c r="N31" s="46"/>
      <c r="O31" s="46"/>
      <c r="P31" s="46"/>
      <c r="Q31" s="46" t="s">
        <v>279</v>
      </c>
      <c r="R31" s="46" t="s">
        <v>280</v>
      </c>
      <c r="S31" s="46" t="s">
        <v>281</v>
      </c>
      <c r="T31" s="46" t="s">
        <v>282</v>
      </c>
      <c r="U31" s="46" t="s">
        <v>283</v>
      </c>
      <c r="V31" s="46"/>
      <c r="W31" s="46"/>
      <c r="X31" s="46" t="s">
        <v>271</v>
      </c>
      <c r="Y31" s="46" t="s">
        <v>277</v>
      </c>
      <c r="Z31" s="46"/>
      <c r="AA31" s="47"/>
      <c r="AB31" s="39"/>
      <c r="AC31" s="39"/>
      <c r="AD31" s="39"/>
      <c r="AE31" s="39"/>
      <c r="AF31" s="48"/>
    </row>
  </sheetData>
  <sheetProtection/>
  <mergeCells count="19">
    <mergeCell ref="A7:A9"/>
    <mergeCell ref="B7:AF7"/>
    <mergeCell ref="X8:Y8"/>
    <mergeCell ref="Z8:AA8"/>
    <mergeCell ref="AC8:AF8"/>
    <mergeCell ref="B8:F8"/>
    <mergeCell ref="G8:J8"/>
    <mergeCell ref="K8:P8"/>
    <mergeCell ref="Q8:U8"/>
    <mergeCell ref="V8:W8"/>
    <mergeCell ref="A2:A5"/>
    <mergeCell ref="B2:F2"/>
    <mergeCell ref="L2:P2"/>
    <mergeCell ref="B3:F3"/>
    <mergeCell ref="L3:P3"/>
    <mergeCell ref="B4:F4"/>
    <mergeCell ref="L4:P4"/>
    <mergeCell ref="B5:F5"/>
    <mergeCell ref="L5:P5"/>
  </mergeCells>
  <printOptions horizontalCentered="1"/>
  <pageMargins left="0.1968503937007874" right="0.1968503937007874" top="0.1968503937007874" bottom="0.1968503937007874" header="0.1968503937007874" footer="0.1968503937007874"/>
  <pageSetup fitToHeight="0" fitToWidth="1" horizontalDpi="600" verticalDpi="600" orientation="landscape" paperSize="8" scale="57" r:id="rId2"/>
  <headerFooter>
    <oddFooter>&amp;R6年　&amp;P/&amp;N</oddFooter>
  </headerFooter>
  <colBreaks count="1" manualBreakCount="1">
    <brk id="23" max="65535" man="1"/>
  </colBreaks>
  <drawing r:id="rId1"/>
</worksheet>
</file>

<file path=xl/worksheets/sheet3.xml><?xml version="1.0" encoding="utf-8"?>
<worksheet xmlns="http://schemas.openxmlformats.org/spreadsheetml/2006/main" xmlns:r="http://schemas.openxmlformats.org/officeDocument/2006/relationships">
  <dimension ref="A1:I42"/>
  <sheetViews>
    <sheetView zoomScalePageLayoutView="0" workbookViewId="0" topLeftCell="A1">
      <selection activeCell="A1" sqref="A1"/>
    </sheetView>
  </sheetViews>
  <sheetFormatPr defaultColWidth="9.140625" defaultRowHeight="15"/>
  <cols>
    <col min="1" max="9" width="14.00390625" style="0" customWidth="1"/>
  </cols>
  <sheetData>
    <row r="1" ht="12.75">
      <c r="A1" s="83" t="s">
        <v>375</v>
      </c>
    </row>
    <row r="3" spans="1:9" ht="12.75">
      <c r="A3" s="84" t="s">
        <v>376</v>
      </c>
      <c r="B3" s="84"/>
      <c r="C3" s="84"/>
      <c r="D3" s="84"/>
      <c r="E3" s="84"/>
      <c r="F3" s="84"/>
      <c r="G3" s="84"/>
      <c r="H3" s="84"/>
      <c r="I3" s="84"/>
    </row>
    <row r="4" spans="1:9" ht="12.75">
      <c r="A4" s="84" t="s">
        <v>377</v>
      </c>
      <c r="B4" s="84"/>
      <c r="C4" s="85"/>
      <c r="D4" s="85"/>
      <c r="E4" s="84"/>
      <c r="F4" s="84"/>
      <c r="G4" s="84"/>
      <c r="H4" s="84"/>
      <c r="I4" s="84"/>
    </row>
    <row r="5" spans="1:9" ht="12.75">
      <c r="A5" s="84" t="s">
        <v>378</v>
      </c>
      <c r="B5" s="84"/>
      <c r="C5" s="84"/>
      <c r="D5" s="84"/>
      <c r="E5" s="84"/>
      <c r="F5" s="84"/>
      <c r="G5" s="84"/>
      <c r="H5" s="84"/>
      <c r="I5" s="84"/>
    </row>
    <row r="6" spans="1:9" ht="12.75">
      <c r="A6" s="84"/>
      <c r="B6" s="84"/>
      <c r="C6" s="84"/>
      <c r="D6" s="84"/>
      <c r="E6" s="84"/>
      <c r="F6" s="84"/>
      <c r="G6" s="84"/>
      <c r="H6" s="84"/>
      <c r="I6" s="84"/>
    </row>
    <row r="7" spans="1:9" ht="12.75">
      <c r="A7" s="84" t="s">
        <v>379</v>
      </c>
      <c r="B7" s="84"/>
      <c r="C7" s="84"/>
      <c r="D7" s="84"/>
      <c r="E7" s="84"/>
      <c r="F7" s="84"/>
      <c r="G7" s="84"/>
      <c r="H7" s="84"/>
      <c r="I7" s="84"/>
    </row>
    <row r="8" spans="1:9" ht="12.75">
      <c r="A8" s="84" t="s">
        <v>380</v>
      </c>
      <c r="B8" s="84"/>
      <c r="C8" s="84"/>
      <c r="D8" s="84"/>
      <c r="E8" s="84"/>
      <c r="F8" s="84"/>
      <c r="G8" s="84"/>
      <c r="H8" s="84"/>
      <c r="I8" s="84"/>
    </row>
    <row r="9" spans="1:9" ht="12.75">
      <c r="A9" s="84" t="s">
        <v>381</v>
      </c>
      <c r="B9" s="84"/>
      <c r="C9" s="84"/>
      <c r="D9" s="84"/>
      <c r="E9" s="84"/>
      <c r="F9" s="84"/>
      <c r="G9" s="84"/>
      <c r="H9" s="84"/>
      <c r="I9" s="84"/>
    </row>
    <row r="10" spans="1:9" ht="12.75">
      <c r="A10" s="84"/>
      <c r="B10" s="84"/>
      <c r="C10" s="84"/>
      <c r="D10" s="84"/>
      <c r="E10" s="84"/>
      <c r="F10" s="84"/>
      <c r="G10" s="84"/>
      <c r="H10" s="84"/>
      <c r="I10" s="84"/>
    </row>
    <row r="11" spans="1:9" ht="12.75">
      <c r="A11" s="86" t="s">
        <v>382</v>
      </c>
      <c r="B11" s="87" t="s">
        <v>383</v>
      </c>
      <c r="C11" s="86" t="s">
        <v>384</v>
      </c>
      <c r="D11" s="86" t="s">
        <v>385</v>
      </c>
      <c r="E11" s="88" t="s">
        <v>386</v>
      </c>
      <c r="F11" s="86" t="s">
        <v>387</v>
      </c>
      <c r="G11" s="87" t="s">
        <v>388</v>
      </c>
      <c r="H11" s="86" t="s">
        <v>389</v>
      </c>
      <c r="I11" s="86" t="s">
        <v>390</v>
      </c>
    </row>
    <row r="12" spans="1:9" ht="12.75">
      <c r="A12" s="89" t="s">
        <v>391</v>
      </c>
      <c r="B12" s="90" t="s">
        <v>47</v>
      </c>
      <c r="C12" s="89" t="s">
        <v>392</v>
      </c>
      <c r="D12" s="89" t="s">
        <v>392</v>
      </c>
      <c r="E12" s="91" t="s">
        <v>392</v>
      </c>
      <c r="F12" s="89" t="s">
        <v>110</v>
      </c>
      <c r="G12" s="90" t="s">
        <v>371</v>
      </c>
      <c r="H12" s="89" t="s">
        <v>392</v>
      </c>
      <c r="I12" s="89" t="s">
        <v>47</v>
      </c>
    </row>
    <row r="13" spans="1:9" ht="12.75">
      <c r="A13" s="89" t="s">
        <v>64</v>
      </c>
      <c r="B13" s="90" t="s">
        <v>110</v>
      </c>
      <c r="C13" s="89" t="s">
        <v>360</v>
      </c>
      <c r="D13" s="89" t="s">
        <v>360</v>
      </c>
      <c r="E13" s="91" t="s">
        <v>360</v>
      </c>
      <c r="F13" s="92" t="s">
        <v>393</v>
      </c>
      <c r="G13" s="93" t="s">
        <v>394</v>
      </c>
      <c r="H13" s="92" t="s">
        <v>371</v>
      </c>
      <c r="I13" s="89" t="s">
        <v>360</v>
      </c>
    </row>
    <row r="14" spans="1:9" ht="12.75">
      <c r="A14" s="89" t="s">
        <v>367</v>
      </c>
      <c r="B14" s="90" t="s">
        <v>122</v>
      </c>
      <c r="C14" s="89" t="s">
        <v>64</v>
      </c>
      <c r="D14" s="89" t="s">
        <v>64</v>
      </c>
      <c r="E14" s="91" t="s">
        <v>64</v>
      </c>
      <c r="F14" s="94"/>
      <c r="G14" s="94"/>
      <c r="H14" s="94"/>
      <c r="I14" s="89" t="s">
        <v>395</v>
      </c>
    </row>
    <row r="15" spans="1:9" ht="12.75">
      <c r="A15" s="89" t="s">
        <v>110</v>
      </c>
      <c r="B15" s="93" t="s">
        <v>368</v>
      </c>
      <c r="C15" s="89" t="s">
        <v>110</v>
      </c>
      <c r="D15" s="89" t="s">
        <v>110</v>
      </c>
      <c r="E15" s="91" t="s">
        <v>110</v>
      </c>
      <c r="F15" s="94"/>
      <c r="G15" s="94"/>
      <c r="H15" s="94"/>
      <c r="I15" s="92" t="s">
        <v>373</v>
      </c>
    </row>
    <row r="16" spans="1:9" ht="12.75">
      <c r="A16" s="92" t="s">
        <v>122</v>
      </c>
      <c r="B16" s="94"/>
      <c r="C16" s="89" t="s">
        <v>146</v>
      </c>
      <c r="D16" s="89" t="s">
        <v>122</v>
      </c>
      <c r="E16" s="95" t="s">
        <v>146</v>
      </c>
      <c r="F16" s="94"/>
      <c r="G16" s="94"/>
      <c r="H16" s="94"/>
      <c r="I16" s="94"/>
    </row>
    <row r="17" spans="1:9" ht="12.75">
      <c r="A17" s="94"/>
      <c r="B17" s="94"/>
      <c r="C17" s="92" t="s">
        <v>368</v>
      </c>
      <c r="D17" s="89" t="s">
        <v>146</v>
      </c>
      <c r="E17" s="94"/>
      <c r="F17" s="94"/>
      <c r="G17" s="94"/>
      <c r="H17" s="94"/>
      <c r="I17" s="94"/>
    </row>
    <row r="18" spans="1:9" ht="12.75">
      <c r="A18" s="94"/>
      <c r="B18" s="94"/>
      <c r="C18" s="94"/>
      <c r="D18" s="92" t="s">
        <v>394</v>
      </c>
      <c r="E18" s="94"/>
      <c r="F18" s="94"/>
      <c r="G18" s="94"/>
      <c r="H18" s="94"/>
      <c r="I18" s="94"/>
    </row>
    <row r="19" spans="1:9" ht="12.75">
      <c r="A19" s="84"/>
      <c r="B19" s="84"/>
      <c r="C19" s="84"/>
      <c r="D19" s="84"/>
      <c r="E19" s="84"/>
      <c r="F19" s="84"/>
      <c r="G19" s="84"/>
      <c r="H19" s="84"/>
      <c r="I19" s="84"/>
    </row>
    <row r="20" spans="1:9" ht="12.75">
      <c r="A20" s="84"/>
      <c r="B20" s="84"/>
      <c r="C20" s="84"/>
      <c r="D20" s="84"/>
      <c r="E20" s="84"/>
      <c r="F20" s="84"/>
      <c r="G20" s="84"/>
      <c r="H20" s="84"/>
      <c r="I20" s="84"/>
    </row>
    <row r="21" spans="1:9" ht="12.75">
      <c r="A21" s="84"/>
      <c r="B21" s="84"/>
      <c r="C21" s="84"/>
      <c r="D21" s="84"/>
      <c r="E21" s="84"/>
      <c r="F21" s="84"/>
      <c r="G21" s="84"/>
      <c r="H21" s="84"/>
      <c r="I21" s="84"/>
    </row>
    <row r="22" spans="1:9" ht="12.75">
      <c r="A22" s="84"/>
      <c r="B22" s="84"/>
      <c r="C22" s="84"/>
      <c r="D22" s="84"/>
      <c r="E22" s="84"/>
      <c r="F22" s="84"/>
      <c r="G22" s="84"/>
      <c r="H22" s="84"/>
      <c r="I22" s="84"/>
    </row>
    <row r="23" spans="1:9" ht="12.75">
      <c r="A23" s="84"/>
      <c r="B23" s="84"/>
      <c r="C23" s="84"/>
      <c r="D23" s="84"/>
      <c r="E23" s="84"/>
      <c r="F23" s="84"/>
      <c r="G23" s="84"/>
      <c r="H23" s="84"/>
      <c r="I23" s="84"/>
    </row>
    <row r="24" spans="1:9" ht="12.75">
      <c r="A24" s="84"/>
      <c r="B24" s="84"/>
      <c r="C24" s="84"/>
      <c r="D24" s="84"/>
      <c r="E24" s="84"/>
      <c r="F24" s="84"/>
      <c r="G24" s="84"/>
      <c r="H24" s="84"/>
      <c r="I24" s="84"/>
    </row>
    <row r="25" spans="1:9" ht="12.75">
      <c r="A25" s="84"/>
      <c r="B25" s="84"/>
      <c r="C25" s="84"/>
      <c r="D25" s="84"/>
      <c r="E25" s="84"/>
      <c r="F25" s="84"/>
      <c r="G25" s="84"/>
      <c r="H25" s="84"/>
      <c r="I25" s="84"/>
    </row>
    <row r="26" spans="1:9" ht="12.75">
      <c r="A26" s="84"/>
      <c r="B26" s="84"/>
      <c r="C26" s="84"/>
      <c r="D26" s="84"/>
      <c r="E26" s="84"/>
      <c r="F26" s="84"/>
      <c r="G26" s="84"/>
      <c r="H26" s="84"/>
      <c r="I26" s="84"/>
    </row>
    <row r="27" spans="1:9" ht="12.75">
      <c r="A27" s="84"/>
      <c r="B27" s="84"/>
      <c r="C27" s="84"/>
      <c r="D27" s="84"/>
      <c r="E27" s="84"/>
      <c r="F27" s="84"/>
      <c r="G27" s="84"/>
      <c r="H27" s="84"/>
      <c r="I27" s="84"/>
    </row>
    <row r="28" spans="1:9" ht="12.75">
      <c r="A28" s="84"/>
      <c r="B28" s="84"/>
      <c r="C28" s="84"/>
      <c r="D28" s="84"/>
      <c r="E28" s="84"/>
      <c r="F28" s="84"/>
      <c r="G28" s="84"/>
      <c r="H28" s="84"/>
      <c r="I28" s="84"/>
    </row>
    <row r="29" spans="1:9" ht="12.75">
      <c r="A29" s="84"/>
      <c r="B29" s="84"/>
      <c r="C29" s="84"/>
      <c r="D29" s="84"/>
      <c r="E29" s="84"/>
      <c r="F29" s="84"/>
      <c r="G29" s="84"/>
      <c r="H29" s="84"/>
      <c r="I29" s="84"/>
    </row>
    <row r="30" spans="1:9" ht="12.75">
      <c r="A30" s="84"/>
      <c r="B30" s="84"/>
      <c r="C30" s="84"/>
      <c r="D30" s="84"/>
      <c r="E30" s="84"/>
      <c r="F30" s="84"/>
      <c r="G30" s="84"/>
      <c r="H30" s="84"/>
      <c r="I30" s="84"/>
    </row>
    <row r="31" spans="1:9" ht="12.75">
      <c r="A31" s="84"/>
      <c r="B31" s="84"/>
      <c r="C31" s="84"/>
      <c r="D31" s="84"/>
      <c r="E31" s="84"/>
      <c r="F31" s="84"/>
      <c r="G31" s="84"/>
      <c r="H31" s="84"/>
      <c r="I31" s="84"/>
    </row>
    <row r="32" spans="1:9" ht="12.75">
      <c r="A32" s="84"/>
      <c r="B32" s="84"/>
      <c r="C32" s="84"/>
      <c r="D32" s="84"/>
      <c r="E32" s="84"/>
      <c r="F32" s="84"/>
      <c r="G32" s="84"/>
      <c r="H32" s="84"/>
      <c r="I32" s="84"/>
    </row>
    <row r="33" spans="1:9" ht="12.75">
      <c r="A33" s="84"/>
      <c r="B33" s="84"/>
      <c r="C33" s="84"/>
      <c r="D33" s="84"/>
      <c r="E33" s="84"/>
      <c r="F33" s="84"/>
      <c r="G33" s="84"/>
      <c r="H33" s="84"/>
      <c r="I33" s="84"/>
    </row>
    <row r="34" spans="1:9" ht="12.75">
      <c r="A34" s="84"/>
      <c r="B34" s="84"/>
      <c r="C34" s="84"/>
      <c r="D34" s="84"/>
      <c r="E34" s="84"/>
      <c r="F34" s="84"/>
      <c r="G34" s="84"/>
      <c r="H34" s="84"/>
      <c r="I34" s="84"/>
    </row>
    <row r="35" spans="1:9" ht="12.75">
      <c r="A35" s="84"/>
      <c r="B35" s="84"/>
      <c r="C35" s="84"/>
      <c r="D35" s="84"/>
      <c r="E35" s="84"/>
      <c r="F35" s="84"/>
      <c r="G35" s="84"/>
      <c r="H35" s="84"/>
      <c r="I35" s="84"/>
    </row>
    <row r="36" spans="1:9" ht="12.75">
      <c r="A36" s="84"/>
      <c r="B36" s="84"/>
      <c r="C36" s="84"/>
      <c r="D36" s="84"/>
      <c r="E36" s="84"/>
      <c r="F36" s="84"/>
      <c r="G36" s="84"/>
      <c r="H36" s="84"/>
      <c r="I36" s="84"/>
    </row>
    <row r="37" spans="1:9" ht="12.75">
      <c r="A37" s="84"/>
      <c r="B37" s="84"/>
      <c r="C37" s="84"/>
      <c r="D37" s="84"/>
      <c r="E37" s="84"/>
      <c r="F37" s="84"/>
      <c r="G37" s="84"/>
      <c r="H37" s="84"/>
      <c r="I37" s="84"/>
    </row>
    <row r="38" spans="1:9" ht="12.75">
      <c r="A38" s="84"/>
      <c r="B38" s="84"/>
      <c r="C38" s="84"/>
      <c r="D38" s="84"/>
      <c r="E38" s="84"/>
      <c r="F38" s="84"/>
      <c r="G38" s="84"/>
      <c r="H38" s="84"/>
      <c r="I38" s="84"/>
    </row>
    <row r="39" spans="1:9" ht="12.75">
      <c r="A39" s="84"/>
      <c r="B39" s="84"/>
      <c r="C39" s="84"/>
      <c r="D39" s="84"/>
      <c r="E39" s="84"/>
      <c r="F39" s="84"/>
      <c r="G39" s="84"/>
      <c r="H39" s="84"/>
      <c r="I39" s="84"/>
    </row>
    <row r="40" spans="1:9" ht="12.75">
      <c r="A40" s="84"/>
      <c r="B40" s="84"/>
      <c r="C40" s="84"/>
      <c r="D40" s="84"/>
      <c r="E40" s="84"/>
      <c r="F40" s="84"/>
      <c r="G40" s="84"/>
      <c r="H40" s="84"/>
      <c r="I40" s="84"/>
    </row>
    <row r="41" spans="1:9" ht="12.75">
      <c r="A41" s="84"/>
      <c r="B41" s="84"/>
      <c r="C41" s="84"/>
      <c r="D41" s="84"/>
      <c r="E41" s="84"/>
      <c r="F41" s="84"/>
      <c r="G41" s="84"/>
      <c r="H41" s="84"/>
      <c r="I41" s="84"/>
    </row>
    <row r="42" spans="1:9" ht="12.75">
      <c r="A42" s="84"/>
      <c r="B42" s="84"/>
      <c r="C42" s="84"/>
      <c r="D42" s="84"/>
      <c r="E42" s="84"/>
      <c r="F42" s="84"/>
      <c r="G42" s="84"/>
      <c r="H42" s="84"/>
      <c r="I42" s="84"/>
    </row>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henshu</dc:creator>
  <cp:keywords/>
  <dc:description/>
  <cp:lastModifiedBy>henshu</cp:lastModifiedBy>
  <cp:lastPrinted>2017-07-27T02:15:06Z</cp:lastPrinted>
  <dcterms:created xsi:type="dcterms:W3CDTF">2012-09-21T00:30:40Z</dcterms:created>
  <dcterms:modified xsi:type="dcterms:W3CDTF">2017-09-27T07:07:53Z</dcterms:modified>
  <cp:category/>
  <cp:version/>
  <cp:contentType/>
  <cp:contentStatus/>
</cp:coreProperties>
</file>