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232" activeTab="0"/>
  </bookViews>
  <sheets>
    <sheet name="【内容項目別】全体計画例別葉4年" sheetId="1" r:id="rId1"/>
    <sheet name="【内容項目別】発行者別一覧4年" sheetId="2" r:id="rId2"/>
    <sheet name="ご利用の留意点" sheetId="3" r:id="rId3"/>
  </sheets>
  <definedNames>
    <definedName name="_xlnm.Print_Area" localSheetId="0">'【内容項目別】全体計画例別葉4年'!$A$1:$N$28</definedName>
    <definedName name="_xlnm.Print_Titles" localSheetId="0">'【内容項目別】全体計画例別葉4年'!$A:$D,'【内容項目別】全体計画例別葉4年'!$6:$8</definedName>
    <definedName name="_xlnm.Print_Titles" localSheetId="1">'【内容項目別】発行者別一覧4年'!$A:$A,'【内容項目別】発行者別一覧4年'!$6:$8</definedName>
    <definedName name="音楽">'【内容項目別】発行者別一覧4年'!$V$8:$W$28</definedName>
    <definedName name="国語">'【内容項目別】発行者別一覧4年'!$B$8:$F$28</definedName>
    <definedName name="算数">'【内容項目別】発行者別一覧4年'!$K$8:$P$28</definedName>
    <definedName name="社会">'【内容項目別】発行者別一覧4年'!$G$8:$J$28</definedName>
    <definedName name="図画工作">'【内容項目別】発行者別一覧4年'!$X$8:$Y$28</definedName>
    <definedName name="保健">'【内容項目別】発行者別一覧4年'!$AA$8:$AD$28</definedName>
    <definedName name="理科">'【内容項目別】発行者別一覧4年'!$Q$8:$U$28</definedName>
  </definedNames>
  <calcPr fullCalcOnLoad="1"/>
</workbook>
</file>

<file path=xl/sharedStrings.xml><?xml version="1.0" encoding="utf-8"?>
<sst xmlns="http://schemas.openxmlformats.org/spreadsheetml/2006/main" count="491" uniqueCount="360">
  <si>
    <t>課題の内容</t>
  </si>
  <si>
    <t>学年の重点課題</t>
  </si>
  <si>
    <t>国語</t>
  </si>
  <si>
    <t>算数</t>
  </si>
  <si>
    <t>音楽</t>
  </si>
  <si>
    <t>特別活動</t>
  </si>
  <si>
    <t>光文書院</t>
  </si>
  <si>
    <t>体育</t>
  </si>
  <si>
    <t>社会</t>
  </si>
  <si>
    <t>理科</t>
  </si>
  <si>
    <t>道徳</t>
  </si>
  <si>
    <t>保健</t>
  </si>
  <si>
    <t>図画工作</t>
  </si>
  <si>
    <t>学級活動</t>
  </si>
  <si>
    <t xml:space="preserve">
　　　　教科・領域など
　内容項目</t>
  </si>
  <si>
    <t>東京書籍</t>
  </si>
  <si>
    <t>クラブ，児童会，
委員会</t>
  </si>
  <si>
    <t>集団や社会のきまりを守る</t>
  </si>
  <si>
    <t>身近な人々と協力し助け合う</t>
  </si>
  <si>
    <t>●係を決めよう/4月
●係活動を見直そう/6月</t>
  </si>
  <si>
    <t xml:space="preserve">●学級スポーツ大会をしよう/11月
</t>
  </si>
  <si>
    <t xml:space="preserve">●夏休みの計画を立てよう/7月
●2学期の目標を立てよう/9月
●学級文庫を活用しよう/10月
●冬休みの計画を立てよう/12月
●3学期の目標を立てよう/1月
</t>
  </si>
  <si>
    <t>●学級目標を決めよう/4月
●学級の旗を作ろう/5月
●6年生を送る会の準備をしよう/2月</t>
  </si>
  <si>
    <t>●1学期を振り返ろう/7月
●夏休みを振り返ろう/9月
●2学期を振り返ろう/12月
●1年間を振り返ろう/3月</t>
  </si>
  <si>
    <t xml:space="preserve">●委員会活動開始/4月
</t>
  </si>
  <si>
    <t>●全校集会/5月
●全校集会/10月
●全校集会/1月</t>
  </si>
  <si>
    <t>●クラブ活動開始/4月
●クラブ発表会/11月
●クラブ見学会/2月</t>
  </si>
  <si>
    <t>●1年間の活動のまとめ/3月</t>
  </si>
  <si>
    <t xml:space="preserve">●体ほぐしの運動/4月
●多様な動きをつくる運動/4月
●キャッチバレーボール（ネット型）/5月
●マット運動
●ハーフバスケットボール（ゴール型）/6月
●浮く・泳ぐ運動/7月
●体ほぐしの運動/9月
●多様な動きをつくる運動/9月
●かけっこ・リレー/9月
●三角ベースボール（ベースボール型）/10月
●走り高とび/10月
●鉄棒運動/11月
●小型ハードル走/11月
●とび箱運動/1月
●多様な動きをつくる運動＋サッカー（ゴール型）/2月
</t>
  </si>
  <si>
    <t xml:space="preserve">●育ちゆく体とわたし/2月
</t>
  </si>
  <si>
    <t xml:space="preserve">●体ほぐしの運動/4月
●多様な動きをつくる運動/4月
●キャッチバレーボール（ネット型）/5月
●マット運動/6月
●ハーフバスケットボール（ゴール型）/6月
●浮く・泳ぐ運動/7月
●体ほぐしの運動/9月
●多様な動きをつくる運動/9月
●かけっこ・リレー/9月
●三角ベースボール（ベースボール型）/10月
●走り高とび/10月
●鉄棒運動/11月
●小型ハードル走/11月
●リズムダンス/12月
●出発！　○○たんけん（表現）/12月
●とび箱運動/1月
●多様な動きをつくる運動＋サッカー（ゴール型）/2月
</t>
  </si>
  <si>
    <t>●火事からくらしを守る/4月
●事故や事件からくらしを守る/5月</t>
  </si>
  <si>
    <t xml:space="preserve">●水はどこから/6月
●ごみのしょ理と利用/9月
</t>
  </si>
  <si>
    <t>●事故や事件からくらしを守る/5月
●ごみのしょ理と利用/9月</t>
  </si>
  <si>
    <t>教育芸術社</t>
  </si>
  <si>
    <t>日本文教出版</t>
  </si>
  <si>
    <t xml:space="preserve">●水はどこから/6月
●県の広がり/12月
●特色ある地いきと人々のくらし/1月
</t>
  </si>
  <si>
    <t>●火事からくらしを守る/4月
●水はどこから/6月
●山ろくに広がる用水/10月
●県の広がり/12月
●特色ある地いきと人々のくらし/1月
●世界とつながるわたしたちの県/3月</t>
  </si>
  <si>
    <t>●世界とつながるわたしたちの県/3月</t>
  </si>
  <si>
    <t>東京書籍</t>
  </si>
  <si>
    <t>学校図書</t>
  </si>
  <si>
    <t>三省堂</t>
  </si>
  <si>
    <t>教育出版</t>
  </si>
  <si>
    <t>教育出版</t>
  </si>
  <si>
    <t>光村図書</t>
  </si>
  <si>
    <t>日本文教出版</t>
  </si>
  <si>
    <t>大日本図書</t>
  </si>
  <si>
    <t>啓林館</t>
  </si>
  <si>
    <t>開隆堂</t>
  </si>
  <si>
    <t>学研教育みらい</t>
  </si>
  <si>
    <t>●みんなで新聞を作ろう/6月
●広告と説明書を読みくらべよう/9月</t>
  </si>
  <si>
    <t>●ヤドカリとイソギンチャク/4月
●ふしぎ/9月
●よかったなあ/9月
●ごんぎつね/10月</t>
  </si>
  <si>
    <t>●案内係になろう/5月
●お願いやお礼の手紙を書こう/11月</t>
  </si>
  <si>
    <t>●漢字辞典の使い方を知ろう/5月
●文の組み立てを考えよう/9月
●文と文をつなぐ言葉の動きを考えよう/10月
●同じ読み方の漢字に気をつけよう/12月
●世界一美しいぼくの村/12月
●漢字を使って読みやすい文を書こう/2月</t>
  </si>
  <si>
    <t>●心の動きを伝えよう/4月
●「ゆめのロボット」を作る/1月
●目的や形式に合わせて書こう/2月</t>
  </si>
  <si>
    <t>●案内係になろう/5月
●わたしの考えたこと/9月
●ごんぎつね/10月
●クラスで話し合おう/11月
●目的や形式に合わせて書こう/2月</t>
  </si>
  <si>
    <t>●みんなで新聞を作ろう/6月
●よかったなあ/9月
●ごんぎつね/10月
●ある人物になったつもりで/10月
●言葉をつなげて/1月
●木竜うるし/2月</t>
  </si>
  <si>
    <t>●こわれた千の楽器/4月
●みんなで新聞を作ろう/6月
●わたしの考えたこと/9月
●クラスで話し合おう/11月
●報告します，みんなの生活/2月
●木竜うるし/2月</t>
  </si>
  <si>
    <t>●こわれた千の楽器/4月
●心の動きを伝えよう/4月
●ふしぎ/9月
●ある人物になったつもりで/10月
●言葉をつなげて/1月
●「言葉のタイムカプセル」を残そう/3月</t>
  </si>
  <si>
    <t>●遊びの教えっこ/4月</t>
  </si>
  <si>
    <t>●要約/5月</t>
  </si>
  <si>
    <t>●見学したことを報告しよう/9月
●さわっておどろく/10月</t>
  </si>
  <si>
    <t>●ポレポレ/7月
●声に出して短歌のリズムを楽しもう/9月
●ごんぎつね/12月</t>
  </si>
  <si>
    <t>●白いぼうし/4月
●ムササビのひみつ/5月
●アメンボはにん者か/5月
●「落ち葉」ではなく「落ちえだ」/10月
●ごんぎつね/12月</t>
  </si>
  <si>
    <t>●ごんぎつね/12月</t>
  </si>
  <si>
    <t>●白いぼうし/4月
●ごんぎつね/12月
●言葉のいろいろな表情/1月</t>
  </si>
  <si>
    <t>●見学したことを報告しよう/9月
●言葉のいろいろな表情/1月</t>
  </si>
  <si>
    <t>●いらい状とお礼状/9月
●言葉のいろいろな表情/1月
●ミニギャラリーの解説委員になろう/2月</t>
  </si>
  <si>
    <t>●ポレポレ/7月
●み力的な人物をしょうかいしょう/7月
●言葉のいろいろな表情/1月
●ミニギャラリーの解説委員になろう/2月</t>
  </si>
  <si>
    <t>●自分の安全は，自分で守ろう/11月
●世界でいちばんやかましい音/3月</t>
  </si>
  <si>
    <t>●要約/5月
●まとまり（段落）と分かりやすさ/6月
●身の回りのメディアを研究しよう/9月
●さわっておどろく/10月
●自分の安全は，自分で守ろう/11月
●生活の中に生きている読書/12月
●これであなたも作家になれる/12月
●世界でいちばんやかましい音/3月</t>
  </si>
  <si>
    <t>●ドリームツリーを作って発表しよう/6月
●すじ道を立てて書く/6月
●身の回りのメディアを研究しよう/9月
●ぼくがここに/3月</t>
  </si>
  <si>
    <t>●ドリームツリーを作って発表しよう/6月
●さわっておどろく/10月
●心に残っていること/11月
●生活の中に生きている読書/12月
●これであなたも作家になれる/12月
●ぼくがここに/3月</t>
  </si>
  <si>
    <t>●ぼくがここに/3月</t>
  </si>
  <si>
    <t>●こんなこと，ありませんか/5月</t>
  </si>
  <si>
    <t>●お願いやお礼の手紙を書こう/5月</t>
  </si>
  <si>
    <t>●いわたくんちのおばあちゃん/7月</t>
  </si>
  <si>
    <t>●安全について考えよう/9月</t>
  </si>
  <si>
    <t>●ごんぎつね/11月</t>
  </si>
  <si>
    <t>●白いぼうし/4月
●ごんぎつね/11月</t>
  </si>
  <si>
    <t>●白いぼうし/4月
●夏の海/9月
●ごんぎつね/11月
●月のかげ絵/11月</t>
  </si>
  <si>
    <t>●いわたくんちのおばあちゃん/7月
●ごんぎつね/11月
●新聞でニュースを伝える/12月</t>
  </si>
  <si>
    <t>●こんなこと，ありませんか/5月
●お気に入りの場所/10月
●新聞でニュースを伝える/12月</t>
  </si>
  <si>
    <t>●図書館へ行こう/4月
●文と文をつなぐ言葉/4月
●ふせん紙を使って整理しよう/5月
●漢字辞典を使おう/6月
●漢字の意味/7月
●安全について考えよう/9月
●百科事典で調べよう/9月
●国語辞典を活用しよう/11月
●じゃんけんの仕組み/2月</t>
  </si>
  <si>
    <t>●打ち上げ花火のひみつ/5月
●大きくなったらなりたいもの/11月
●新聞のくふうを知ろう/12月
●あたまにつまった石ころが/3月</t>
  </si>
  <si>
    <t>●レポーターになろう/2月
●あたまにつまった石ころが/3月</t>
  </si>
  <si>
    <t>●みんなの詩，わたしの詩/6月
●写真に題名をつけよう/7月
●お気に入りの場所/10月
●月のかげ絵/11月
●大きくなったらなりたいもの/11月
●冬の満月/11月
●新聞のくふうを知ろう/12月
●ふしぎ/2月
●あたまにつまった石ころが/3月
●二十才のわたしへ/3月</t>
  </si>
  <si>
    <t>●見学したことを報告しよう/6月</t>
  </si>
  <si>
    <t>●言葉が表す感じ，言葉から受ける感じ/7月</t>
  </si>
  <si>
    <t>●クラスで話し合おう/9月
●学級新聞を作ろう/9月</t>
  </si>
  <si>
    <t>●ぞろぞろ/7月
●一つの花/9月</t>
  </si>
  <si>
    <t>●ウミガメの命をつなぐ/10月</t>
  </si>
  <si>
    <t>●春のうた/4月
●白いぼうし/4月
●花を見つける手がかり/5月
●ウミガメの命をつなぐ/10月
●ごんぎつね/11月</t>
  </si>
  <si>
    <t>●一つの花/9月
●ごんぎつね/11月</t>
  </si>
  <si>
    <t>●花を見つける手がかり/5月
●写真をもとに話そう/6月
●「不思議図かん」を作ろう/10月
●「読書発表会」をしよう/12月
●物語を書こう/12月</t>
  </si>
  <si>
    <t>●くらべて発見しよう/4月
●白いぼうし/4月
●写真をもとに話そう/6月
●言葉が表す感じ，言葉から受ける感じ/7月
●ごんぎつね/11月
●「便利」ということ/1月</t>
  </si>
  <si>
    <t>●調べてわかったことを発表しよう/1月</t>
  </si>
  <si>
    <t>●心のスケッチをしよう/4月
●物語を書こう/12月
●いろいろな詩/おおきな木/とびばこ　だんだん/1月
●心の動きがわかるように/2月</t>
  </si>
  <si>
    <t>●くらべて発見しよう/4月
●クラスで話し合おう/9月
●「不思議図かん」を作ろう/10月
●調べてわかったことを発表しよう/1月
●木竜うるし/3月</t>
  </si>
  <si>
    <t>●一つの花/6月</t>
  </si>
  <si>
    <t>●かげ/7月
●ごんぎつね/10月</t>
  </si>
  <si>
    <t>●一つの花/6月
●ごんぎつね/10月</t>
  </si>
  <si>
    <t>●大きな力を出す/5月
●動いて，考えて，また動く/5月
●アップとルーズで伝える/11月
●「クラブ活動リーフレット」を作ろう/11月
●プラタナスの木/12月
●聞き取りメモの工夫/2月</t>
  </si>
  <si>
    <t>●プラタナスの木/12月
●初雪のふる日/3月</t>
  </si>
  <si>
    <t>●動いて，考えて，また動く/5月
●新聞を作ろう/5月
●自分の考えをつたえるには/7月
●だれもが関わり合えるように/9月
●&lt;資料&gt;手と心で読む/9月
●「クラブ活動リーフレット」を作ろう/11月
●ウナギのなぞを追って/1月
●十年後のわたしへ/3月</t>
  </si>
  <si>
    <t>●文と文をつなぐ言葉/12月
●のはらのうた/1月
●野原に集まれ/1月
●わたしの研究レポート/2月
●十年後のわたしへ/3月</t>
  </si>
  <si>
    <t>●吉田新田はどこにあった/10月
●田を開く/11月
●県の地図を広げて/12月
●焼き物を生かしたまちづくり/1月
●クリークを生かしたまちづくり/2月
●世界とつながるまちづくり/3月</t>
  </si>
  <si>
    <t>●ごみをへらそう/4月
●水を大切に/5月
●火事からまちを守るには/6月
●安全なまちをめざして/9月</t>
  </si>
  <si>
    <t>●命の水を求めて/10月</t>
  </si>
  <si>
    <t>●水を大切に/5月
●命の水を求めて/10月
●神奈川県をかけぬけよう/11月
●海と太陽のめぐみを生かして/2月</t>
  </si>
  <si>
    <t>●ごみのしまつと活用/5月
●命とくらしをささえる水/6月
●なくそうこわい火事/9月
●ふせごう，交通事故や事件/11月</t>
  </si>
  <si>
    <t>●ごみのしまつと活用/5月
●よみがえらせよう，われらの広村/12月
●県の人々のくらし/2月</t>
  </si>
  <si>
    <t>●よみがえらせよう，われらの広村/12月
●わたしたちの県のようす/1月
●県の人々のくらし/2月
●人やものによるつながり/3月</t>
  </si>
  <si>
    <t>●そろばん/7月</t>
  </si>
  <si>
    <t>●垂直・平行と四角形/5月
●面積のはかり方と表し方/11月</t>
  </si>
  <si>
    <t>●変わり方調べ/12月</t>
  </si>
  <si>
    <t>●折れ線グラフと表/4月
●角の大きさ/4月
●わり算の筆算(1)－わる数が１けた/5月
●垂直・平行と四角形/5月
●大きい数のしくみ/9月
●わり算の筆算(2) －わる数が２けた/9月
●がい数の表し方/10月
●計算のきまり/10月
●面積のはかり方と表し方/11月
●小数のしくみ/11月
●小数のかけ算とわり算/1月
●分数/2月
●直方体と立方体/2月</t>
  </si>
  <si>
    <t>●小数/6月
●２けたのわり算/10月
●面積/11月</t>
  </si>
  <si>
    <t>●折れ線グラフ/4月
●整理のしかた/11月</t>
  </si>
  <si>
    <t>●大きな数/4月
●折れ線グラフ/4月
●角度/5月
●わり算の筆算/5月
●がい数/6月
●小数/6月
●垂直，平行と四角形/9月
●２けたのわり算/10月
●式と計算/10月
●面積/11月
●変わり方/12月
●そろばん/12月
●小数と整数のかけ算・わり算/1月
●分数/2月
●直方体と立方体/3月</t>
  </si>
  <si>
    <t>●計算のしかたを考えよう/5月
●いろいろな四角形/5月
●式と計算/10月
●面積/11月
●計算のしかたを考えよう/11月</t>
  </si>
  <si>
    <t>●折れ線グラフ/4月
●しりょうの整理/11月</t>
  </si>
  <si>
    <t>●大きい数/4月
●折れ線グラフ/4月
●角/5月
●いろいろな四角形/5月
●1けたでわるわり算/6月
●小数/9月
●２けたでわるわり算/9月
●そろばん/10月
●がい数/10月
●式と計算/10月
●面積/11月
●小数のかけ算とわり算/12月
●分数/1月
●直方体と立方体/2月
●ともなって変わる量/2月</t>
  </si>
  <si>
    <t>●折れ線グラフ/5月
●整理のしかた/9月</t>
  </si>
  <si>
    <t>●大きな数/4月
●わり算の筆算（1）/4月
●がい数/5月
●わり算の筆算（２）/6月
●式と計算/7月
●がい数を使った計算/9月
●面積/9月
●角/10月
●小数のしくみとたし算，ひき算/10月
●垂直，平行と四角形/11月
●そろばん/12月
●小数と整数のかけ算，わり算/1月
●立体/2月
●分数の大きさとたし算，ひき算/2月</t>
  </si>
  <si>
    <t>●変わり方/12月
●小数と整数のかけ算，わり算/1月
●算数を使って考えよう/3月</t>
  </si>
  <si>
    <t>●折れ線グラフ/5月
●調べ方と整理のしかた/1月</t>
  </si>
  <si>
    <t>●垂直・平行と四角形/6月
●面積/10月
●変わり方/2月</t>
  </si>
  <si>
    <t>●角とその大きさ/4月
●1けたでわるわり算の筆算/4月
●何倍でしょう/5月
●折れ線グラフ/5月
●一億をこえる数/5月
●垂直・平行と四角形/6月
●小数/7月
●式と計算の順じょ/9月
●２けたでわるわり算の筆算/9月
●面積/10月
●がい数とその計算/11月
●もとの数はいくつ/11月
●小数×整数，小数÷整数/11月
●分数/1月
●直方体と立方体/2月</t>
  </si>
  <si>
    <t>●四角形/9月
●面積/11月</t>
  </si>
  <si>
    <t>●折れ線グラフ/6月
●整理のしかた/12月</t>
  </si>
  <si>
    <t>●大きい数/4月
●角と角度/4月
●わり算/5月
●およその数/5月
●折れ線グラフ/6月
●小数/6月
●そろばん/7月
●四角形/9月
●わり算（2）/10月
●式と計算/10月
●整数の計算/11月
●面積/11月
●計算の見積もり/12月
●分数/1月
●変わり方/1月
●小数のかけ算とわり算/1月
●直方体と立方体/2月</t>
  </si>
  <si>
    <t>●とじこめた空気と水/10月
●物の体積と温度/10月
●物のあたたまり方/1月</t>
  </si>
  <si>
    <t>●あたたかくなると/4月
●動物のからだのつくりと運動/4月
●天気と気温/5月
●電気のはたらき/5月
●暑くなると/6月
●夏の星/7月
●月や星の動き/9月
●すずしくなると/9月
●水のすがたと温度/11月
●自然のなかの水のすがた/12月
●冬の星/1月
●寒くなると/1月
●生き物の１年をふり返って/2月</t>
  </si>
  <si>
    <t>●わたしたちの体と運動/9月</t>
  </si>
  <si>
    <t>●わたしたちの体と運動/9月</t>
  </si>
  <si>
    <t>●とじこめた空気や水/6月
●ものの温度と体積/11月
●もののあたたまり方/12月</t>
  </si>
  <si>
    <t>●自然の中の水/3月</t>
  </si>
  <si>
    <t>●水の３つのすがた/11月
●ものの体積と温度/11月
●もののあたたまり方/2月</t>
  </si>
  <si>
    <t>●人の体のつくりと運動／3月</t>
  </si>
  <si>
    <t>●あたたかくなって/4月
●1日の気温と天気/5月
●空気と水/5月
●電気のはたらき/6月
●暑い季節/7月
●夏の星/7月
●月や星の動き/9月
●すずしくなると/10月
●自然の中の水/10月
●水の３つのすがた/11月
●冬の星/1月
●寒さの中でも/1月
●人の体のつくりと運動／3月</t>
  </si>
  <si>
    <t>●とじこめた空気と水/9月
●ものの温度と体積/11月</t>
  </si>
  <si>
    <t>●体のつくりと運動/5月
●もののあたたまり方/11月
●水のすがた/2月
●水のゆくえ/2月</t>
  </si>
  <si>
    <t>●出かけよう　科学の世界へ/7月
●ヒトの体のつくりと運動/10月</t>
  </si>
  <si>
    <t>●とじこめた空気や水/10月
●ものの温度と体積/11月
●もののあたたまり方/1月
●水のすがた/2月</t>
  </si>
  <si>
    <t>●春の生き物/4月
●天気と1日の気温/5月
●電気のはたらき/5月
●夏の生き物/6月
●夏の夜空/7月
●月や星/9月
●ヒトの体のつくりと運動/10月
●秋の生き物/11月
●冬の夜空/1月
●冬の生き物/1月
●水のすがた/2月
●水のゆくえ/3月
●生き物の1年間/3月</t>
  </si>
  <si>
    <t>●にっぽんのうた　みんなのうた/4月
●にっぽんのうた　みんなのうた/6月
●にっぽんのうた　みんなのうた/10月
●日本のリズム・世界のリズム/11月</t>
  </si>
  <si>
    <t>●ひょうしと　せんりつ/5月
●せんりつと音色/9月
●えんそうのくふう/1月</t>
  </si>
  <si>
    <t>●音のスケッチ/1月
●音楽のききどころ/2月</t>
  </si>
  <si>
    <t>●にっぽんのうた　みんなのうた/4月
●音楽のききどころ/2月</t>
  </si>
  <si>
    <t>●ひょうしと　せんりつ/5月
●かけ合いと重なり/9月
●気持ちを合わせて（選択）/3月</t>
  </si>
  <si>
    <t>●ひびけ歌声/4月
●かけ合いと重なり/9月
●気持ちを合わせて（選択）/3月</t>
  </si>
  <si>
    <t>●育ちゆく体とわたし/10月</t>
  </si>
  <si>
    <t>●育ちゆく体とわたし/10月</t>
  </si>
  <si>
    <t>●育ちゆく体とわたし/2月</t>
  </si>
  <si>
    <t>●ごんぎつね/11月
●木竜うるし/3月</t>
  </si>
  <si>
    <t>●分類をもとに本を見つけよう/5月
●漢字辞典の引き方/5月
●二つのことがらをつなぐ/12月
●「便利」ということ/1月</t>
  </si>
  <si>
    <t>●白いぼうし/4月
●自分の考えをつたえるには/7月
●だれもが関わり合えるように/9月
●&lt;資料&gt;手と心で読む/9月
●ごんぎつね/10月
●「クラブ活動リーフレット」を作ろう/11月
●プラタナスの木/12月</t>
  </si>
  <si>
    <t>●漢字の組み立て/4月
●漢字辞典の使い方/4月
●いろいろな意味をもつ言葉/6月
●「読むこと」について考えよう/7月
●熟語の意味/2月
●わたしの研究レポート/2月</t>
  </si>
  <si>
    <t>●白いぼうし/4月
●きせつの言葉１　春の風景/4月
●きせつの言葉２　夏の風景/7月
●かげ/7月
●ごんぎつね/10月
●きせつの言葉３　秋の風景/10月
●季節の言葉４　冬の風景/1月
●ウナギのなぞを追って/1月</t>
  </si>
  <si>
    <t>●きせつの言葉１　春の風景/4月
●ごんぎつね/10月
●慣用句/11月</t>
  </si>
  <si>
    <t>●よりよい話し合いをしよう/4月</t>
  </si>
  <si>
    <t>●話す言葉は同じでも/4月</t>
  </si>
  <si>
    <t>●事故・事件のないまちをめざして/4月
●火事を防ぎ，地震にそなえる/5月
●ごみはどこへ/7月
●水はどこから/9月</t>
  </si>
  <si>
    <t>●事故・事件のないまちをめざして/4月
●火事を防ぎ，地震にそなえる/5月
●水はどこから/9月</t>
  </si>
  <si>
    <t>総合的な学習
の時間</t>
  </si>
  <si>
    <t>地域・家庭
との連携</t>
  </si>
  <si>
    <t>教科</t>
  </si>
  <si>
    <t>教科</t>
  </si>
  <si>
    <t>教科</t>
  </si>
  <si>
    <t>●拍の流れにのってリズムを感じ取ろう/6月
●せんりつのとくちょうを感じ取ろう/9月</t>
  </si>
  <si>
    <t>●せんりつの重なりを感じ取ろう/10月</t>
  </si>
  <si>
    <t>●いろいろな音のひびきを感じ取ろう/11月</t>
  </si>
  <si>
    <t>●日本の音楽に親しもう/1月</t>
  </si>
  <si>
    <t>●明るい歌声をひびかせよう/4月
●曲の気分を感じ取ろう/2月</t>
  </si>
  <si>
    <t>●季節と生き物（春）/4月
●天気と気温/4月
●電池のはたらき/5月
●星の明るさや色/7月
●季節と生き物（夏）/7月
●季節と生き物（夏の終わり）/9月
●月の動き/10月
●季節と生き物（秋）/10月
●星の動き/1月
●季節と生き物（冬）/1月
●すがたをかえる水/2月
●自然の中の水/3月</t>
  </si>
  <si>
    <t>●走れ/5月
●ごんぎつね/10月
●世界一美しいぼくの村/12月</t>
  </si>
  <si>
    <t xml:space="preserve">●ごみはどこへ/7月
●水はどこから/9月
●県の地図を広げて/12月
</t>
  </si>
  <si>
    <t>●拍の流れにのってリズムを感じ取ろう/6月
●せんりつの重なりを感じ取ろう/10月
●いろいろな音のひびきを感じ取ろう/11月</t>
  </si>
  <si>
    <t>●ごみのしょ理と利用/9月</t>
  </si>
  <si>
    <t>●ごみをへらそう/4月
●水を大切に/5月
●火事からまちを守るには/6月
●安全なまちをめざして/9月
●命の水を求めて/10月</t>
  </si>
  <si>
    <t>●ごみのしまつと活用/5月
●命とくらしをささえる水/6月
●なくそうこわい火事/9月
●ふせごう，交通事故や事件/11月</t>
  </si>
  <si>
    <t>●プラタナスの木/12月
●聞き取りメモの工夫/2月</t>
  </si>
  <si>
    <t xml:space="preserve">●事故・事件のないまちをめざして/4月
●火事を防ぎ，地震にそなえる/5月
●ごみはどこへ/7月
</t>
  </si>
  <si>
    <t>●ごみをへらそう/4月
●火事からまちを守るには/6月
●安全なまちをめざして/9月</t>
  </si>
  <si>
    <t>●ごみのしまつと活用/5月
●命とくらしをささえる水/6月
●なくそうこわい火事/9月
●ふせごう，交通事故や事件/11月</t>
  </si>
  <si>
    <t>●見学したことを報告しよう/6月
●「便利」ということ/1月</t>
  </si>
  <si>
    <t>●新聞を作ろう/5月
●&lt;資料&gt;手と心で読む/9月</t>
  </si>
  <si>
    <t>●ごみをへらそう/4月</t>
  </si>
  <si>
    <t>●県の人々のくらし/2月</t>
  </si>
  <si>
    <t>●クラスで話し合おう/11月
●報告します，みんなの生活/2月</t>
  </si>
  <si>
    <t>●天気と1日の気温/5月</t>
  </si>
  <si>
    <t>●世界とつながるまちづくり/3月</t>
  </si>
  <si>
    <t>●一つの花/6月</t>
  </si>
  <si>
    <t xml:space="preserve">●育ちゆく体とわたし/2月
</t>
  </si>
  <si>
    <t>●育ちゆく体とわたし/2月</t>
  </si>
  <si>
    <t>●冬の満月/11月</t>
  </si>
  <si>
    <t>●夏の星/7月
●月や星の動き/9月
●冬の星/1月</t>
  </si>
  <si>
    <t>●星の明るさや色/7月
●月の動き/10月
●星の動き/1月</t>
  </si>
  <si>
    <t>●夏の星/7月
●月や星の動き/9月
●冬の星/1月</t>
  </si>
  <si>
    <t>●夏の星/7月
●月や星の動き/9月</t>
  </si>
  <si>
    <t>●夏の夜空/7月
●月や星/9月
●冬の夜空/1月</t>
  </si>
  <si>
    <t>●曲の気分を感じ取ろう/2月</t>
  </si>
  <si>
    <t>●ごんぎつね/10月</t>
  </si>
  <si>
    <t>●ごんぎつね/12月</t>
  </si>
  <si>
    <t>●ごんぎつね/11月</t>
  </si>
  <si>
    <t>●事故や事件からくらしを守る/5月</t>
  </si>
  <si>
    <t>●短歌の世界/6月
●ぞろぞろ/7月
●ごんぎつね/11月</t>
  </si>
  <si>
    <t>●故事成語/12月</t>
  </si>
  <si>
    <t>●ローマ字/10月
●故事成語の物語/1月</t>
  </si>
  <si>
    <t>●打ち上げ花火のひみつ/5月
●落語　じゅげむ/6月
●声に出して読もう―短歌/7月
●ごんぎつね/11月
●新聞でニュースを伝える/12月</t>
  </si>
  <si>
    <t>●ポレポレ/7月
●手で食べる，はしで食べる/2月</t>
  </si>
  <si>
    <t>●頭にかきの木/4月
●百人一首/9月
●声に出して短歌のリズムを楽しもう/9月
●ごんぎつね/12月</t>
  </si>
  <si>
    <t>●ローマ字/6月
●くらしの中の和と洋/11月
●世界一美しいぼくの村/12月</t>
  </si>
  <si>
    <t>●メモの取り方をくふうして聞こう/6月
●「ことわざブック」を作ろう/7月
●ごんぎつね/10月
●「百人一首」を声に出して読んでみよう/1月</t>
  </si>
  <si>
    <t>●日本のリズム・世界のリズム/11月</t>
  </si>
  <si>
    <t>●ひびけ歌声/4月
●かけ合いと重なり/9月
●気持ちを合わせて（選択）/3月</t>
  </si>
  <si>
    <t>●せんりつの重なりを感じ取ろう/10月
●いろいろな音のひびきを感じ取ろう/11月</t>
  </si>
  <si>
    <t>●キャッチバレーボール（ネット型）/5月
●ハーフバスケットボール（ゴール型）/6月
●三角ベースボール（ベースボール型）/10月</t>
  </si>
  <si>
    <t>●キャッチバレーボール（ネット型）/5月
●ハーフバスケットボール（ゴール型）/6月
●三角ベースボール（ベースボール型）/10月</t>
  </si>
  <si>
    <t>●見つけたよ，この色　すてきだね，その色/5月
●みんなで，どんどん　むすんで，つないで/9月
●カードで味わう，形・色/9月
●いい場所見つけて，囲んでみよう/11月</t>
  </si>
  <si>
    <t>●木々を見つめて/7月
●いい場所見つけて，囲んでみよう/11月</t>
  </si>
  <si>
    <t>●みんなで，どんどん　むすんで，つないで/9月
●カードで味わう，形・色/9月
●いい場所見つけて，囲んでみよう/11月
●ハッピーカード/12月</t>
  </si>
  <si>
    <t>●ハッピーカード/12月</t>
  </si>
  <si>
    <t>●絵の具で遊んで「自分いろがみ」/4月
●見つけたよ，この色　すてきだね，その色/5月
●へんてこ山の物語/10月
●友だち，たくさん集まって/1月</t>
  </si>
  <si>
    <t>●トントンつないで/6月
●つくって，つかって，たのしんで/11月
●ほると出てくる不思議な花/2月</t>
  </si>
  <si>
    <t>●絵の具で遊んで「自分いろがみ」/4月
●見つけたよ，この色　すてきだね，その色/5月
●リズムにのって/5月
●トントンつないで/6月
●木々を見つめて/7月
●みんなで，どんどん　むすんで，つないで/9月
●カードで味わう，形・色/9月
●パックパク/10月
●へんてこ山の物語/10月
●つくって，つかって，たのしんで/11月
●友だち，たくさん集まって/1月
●願いの種から/1月
●ほると出てくる不思議な花/2月</t>
  </si>
  <si>
    <t>●リズムにのって/5月
●願いの種から/1月
●ほると出てくる不思議な花/2月</t>
  </si>
  <si>
    <t>●トントンつないで/6月
●ほると出てくる不思議な花/2月</t>
  </si>
  <si>
    <t>●ゆめいろらんぷ/3月</t>
  </si>
  <si>
    <t>●ゆめいろらんぷ/3月</t>
  </si>
  <si>
    <t>●見つけたよ ためしたよ/形や色を楽しもう/4月</t>
  </si>
  <si>
    <t>●ゆめのまちへようこそ/7月
●すみですみか/11月</t>
  </si>
  <si>
    <t>●幸せを運ぶカード/12月</t>
  </si>
  <si>
    <t>●幸せを運ぶカード/12月</t>
  </si>
  <si>
    <t>●光とかげから生まれる形/5月
●つつんだアート/6月
●ゆめのまちへようこそ/7月
●すみですみか/11月
●幸せを運ぶカード/12月</t>
  </si>
  <si>
    <t>●光とかげから生まれる形/5月
●まぼろしの花/5月
●光のさしこむ絵/11月
●すみですみか/11月
●森のげいじゅつ家/1月</t>
  </si>
  <si>
    <t>●見つけたよ ためしたよ/形や色を楽しもう/4月
●絵の具でゆめもよう/4月
●立ち上がれ！ねん土/5月
●まぼろしの花/5月
●おもしろアイデアボックス/6月
●わすれられないあの時/9月
●トロトロ，カチコチ・ワールド/10月
●光のさしこむ絵/11月
●森のげいじゅつ家/1月
●ゴー！ゴー！ドリームカー/2月</t>
  </si>
  <si>
    <t>●おもしろアイデアボックス/6月
●ギコギコクリエーター/10月
●ほってすって見つけて/2月</t>
  </si>
  <si>
    <t>●ギコギコクリエーター/10月
●ゴー！ゴー！ドリームカー/2月
●ほってすって見つけて/2月</t>
  </si>
  <si>
    <t>●ギコギコクリエーター/10月
●ほってすって見つけて/2月</t>
  </si>
  <si>
    <t>●光とかげから生まれる形/5月
●まぼろしの花/5月
●つつんだアート/6月
●ゆめのまちへようこそ/7月
●すみですみか/11月
●からだでかんしょう/3月</t>
  </si>
  <si>
    <t>●見つけたよ ためしたよ/形や色を楽しもう/4月
●からだでかんしょう/3月</t>
  </si>
  <si>
    <t>●水を大切に/5月
●命の水を求めて/10月
●神奈川県をかけぬけよう/11月
●伝統のわざを生かして/12月
●海と太陽のめぐみを生かして/2月
●わたしたちの県のこと/3月</t>
  </si>
  <si>
    <t>●そろばん/10月</t>
  </si>
  <si>
    <t>●そろばん/12月</t>
  </si>
  <si>
    <t>●そろばん/12月</t>
  </si>
  <si>
    <t>●動物のからだのつくりと運動/4月</t>
  </si>
  <si>
    <t>●とじこめた空気と水/10月</t>
  </si>
  <si>
    <t>●物のあたたまり方/1月
●生き物の１年をふり返って/2月</t>
  </si>
  <si>
    <t>●とじこめた空気や水/6月</t>
  </si>
  <si>
    <t>●もののあたたまり方/12月</t>
  </si>
  <si>
    <t>●空気と水/5月</t>
  </si>
  <si>
    <t>●もののあたたまり方/2月</t>
  </si>
  <si>
    <t>●人の体のつくりと運動／3月</t>
  </si>
  <si>
    <t>●体のつくりと運動/5月</t>
  </si>
  <si>
    <t>●もののあたたまり方/11月</t>
  </si>
  <si>
    <t>●とじこめた空気や水/10月</t>
  </si>
  <si>
    <t>●もののあたたまり方/1月</t>
  </si>
  <si>
    <t>●電気のはたらき/5月
●水のすがたと温度/11月
●自然のなかの水のすがた/12月
●物の体積と温度/10月
●物のあたたまり方/1月</t>
  </si>
  <si>
    <t>●電池のはたらき/5月
●わたしたちの理科室/11月
●ものの温度と体積/11月
●もののあたたまり方/12月
●すがたをかえる水/2月</t>
  </si>
  <si>
    <t>●電気のはたらき/6月
●水の３つのすがた/11月
●ものの体積と温度/11月
●もののあたたまり方/2月</t>
  </si>
  <si>
    <t>●電気のはたらき/5月
●もののあたたまり方/11月
●水のすがた/2月</t>
  </si>
  <si>
    <t>●電気のはたらき/5月
●みんなで使う理科教室/11月
●ものの温度と体積/11月
●もののあたたまり方/1月
●水のすがた/2月</t>
  </si>
  <si>
    <t>●季節と生き物/4月
●天気による気温の変化/5月
●電気のはたらき/5月
●夏と生き物/6月
●夏の星/7月
●月や星の動き/9月
●秋と生き物/10月
●冬と生き物/1月
●生き物の１年/1月
●水のすがた/2月
●水のゆくえ/2月</t>
  </si>
  <si>
    <t xml:space="preserve">●育ちゆく体とわたし/11月
</t>
  </si>
  <si>
    <t xml:space="preserve">●育ちゆく体とわたし/11月
</t>
  </si>
  <si>
    <t>Ａ 善悪の判断，自律，自由と責任</t>
  </si>
  <si>
    <t>Ａ 正直，誠実</t>
  </si>
  <si>
    <t>Ａ 節度，節制</t>
  </si>
  <si>
    <t>Ａ 個性の伸長</t>
  </si>
  <si>
    <t>Ａ 希望と勇気，努力と強い意志</t>
  </si>
  <si>
    <t>Ｂ 親切，思いやり</t>
  </si>
  <si>
    <t>Ｂ 感謝</t>
  </si>
  <si>
    <t>Ｂ 礼儀</t>
  </si>
  <si>
    <t>Ｂ 友情，信頼</t>
  </si>
  <si>
    <t>Ｂ 相互理解，寛容</t>
  </si>
  <si>
    <t>Ｃ 規則の尊重</t>
  </si>
  <si>
    <t>Ｃ 公正，公平，社会正義</t>
  </si>
  <si>
    <t>Ｃ 勤労，公共の精神</t>
  </si>
  <si>
    <t>Ｃ 家族愛，家庭生活の充実</t>
  </si>
  <si>
    <t>Ｃ よりよい学校生活，集団生活の充実</t>
  </si>
  <si>
    <t>Ｃ 伝統と文化の尊重，国や郷土を愛する態度</t>
  </si>
  <si>
    <t>Ｃ 国際理解，国際親善</t>
  </si>
  <si>
    <t>Ｄ 生命の尊さ</t>
  </si>
  <si>
    <t>Ｄ 自然愛護</t>
  </si>
  <si>
    <t>Ｄ 感動，畏敬の念</t>
  </si>
  <si>
    <t>日本文教出版</t>
  </si>
  <si>
    <t>●サッカーボール/4月
●心にブレーキ/付録</t>
  </si>
  <si>
    <t xml:space="preserve">●ぼくはＭＶＰ/9月
</t>
  </si>
  <si>
    <t xml:space="preserve">●早起きは三文の徳/7月
●心の体温計/10月
</t>
  </si>
  <si>
    <t xml:space="preserve">●わたしのゆめ/7月
</t>
  </si>
  <si>
    <t>●ノーベル賞の生みの親 ―アルフレッド・ノーベル―/12月
●とべ！　ペットボトルロケット/付録</t>
  </si>
  <si>
    <t xml:space="preserve">●かさ/5月
●せきが空いているのに/10月
</t>
  </si>
  <si>
    <t>●石油列車，東北へ向かって走れ！/9月
●ぼうや，生きていてくれよ/付録</t>
  </si>
  <si>
    <t>●お礼の手紙/2月</t>
  </si>
  <si>
    <t xml:space="preserve">●ゲームのやくそく/6月
●ブラジルからの転入生/9月
●「祭り日」/11月
●十六番目の代表選手/12月
</t>
  </si>
  <si>
    <t xml:space="preserve">●貝がら/4月
●学級新聞作り/9月
</t>
  </si>
  <si>
    <t>●どっちがいいか/6月
●自分たちにできるエコ活動/6月
●雨のバスていりゅう所で/11月
●図書館で/2月</t>
  </si>
  <si>
    <t xml:space="preserve">●良太のはんだん/10月
</t>
  </si>
  <si>
    <t xml:space="preserve">●みんなのためにできること/4月
●みかん出し/10月
</t>
  </si>
  <si>
    <t>●お母さんのせいきゅう書/5月
●ぼくの生まれた日 ―ドラえもん―/2月</t>
  </si>
  <si>
    <t xml:space="preserve">●さか上がり/5月
●えがおの花大作戦/1月
</t>
  </si>
  <si>
    <t>●ねがいをつみ上げた石橋/6月
●かつおぶし/付録</t>
  </si>
  <si>
    <t>●さくらのかけ橋/2月</t>
  </si>
  <si>
    <t>●元気がいちばん/11月
●レスキュー隊/3月
●五百人からもらった命/3月
●誠の碑/付録</t>
  </si>
  <si>
    <t xml:space="preserve">●鳥にのこしたかきの実/11月
</t>
  </si>
  <si>
    <t>●十さいのプレゼント/5月
●百羽のつる/1月</t>
  </si>
  <si>
    <r>
      <t>４年　全体計画例別葉（教科領域等と道徳との関連計画表）【内容項目別】　　</t>
    </r>
    <r>
      <rPr>
        <b/>
        <sz val="11"/>
        <rFont val="ＭＳ Ｐゴシック"/>
        <family val="3"/>
      </rPr>
      <t>2018年～2019年</t>
    </r>
  </si>
  <si>
    <t>４年　全体計画例別葉（教科領域等と道徳との関連計画表）【内容項目別】　　2018年～2019年</t>
  </si>
  <si>
    <t>国語</t>
  </si>
  <si>
    <t>東京書籍</t>
  </si>
  <si>
    <t>学校図書</t>
  </si>
  <si>
    <t>三省堂</t>
  </si>
  <si>
    <t>教育出版</t>
  </si>
  <si>
    <t>光村図書</t>
  </si>
  <si>
    <t>社会</t>
  </si>
  <si>
    <t>日本文教出版</t>
  </si>
  <si>
    <t>算数</t>
  </si>
  <si>
    <t>大日本図書</t>
  </si>
  <si>
    <t>啓林館</t>
  </si>
  <si>
    <t>日本文教出版</t>
  </si>
  <si>
    <t>理科</t>
  </si>
  <si>
    <t>音楽</t>
  </si>
  <si>
    <t>教育芸術社</t>
  </si>
  <si>
    <t>図画工作</t>
  </si>
  <si>
    <t>開隆堂</t>
  </si>
  <si>
    <t>日本文教出版</t>
  </si>
  <si>
    <t>保健</t>
  </si>
  <si>
    <t>光文書院</t>
  </si>
  <si>
    <t>学研教育みらい</t>
  </si>
  <si>
    <t>教科書会社名一覧　※削除しないようご注意ください。</t>
  </si>
  <si>
    <t>■ 全体計画例別葉（教科領域等と道徳との関連計画表）　ご利用の留意点</t>
  </si>
  <si>
    <t>【Microsoft Excel 2003以降のバージョンをお使いの場合】</t>
  </si>
  <si>
    <t>・各教科の教科書会社のセルを選択するとプルダウンで教科書会社名が表示されますので，</t>
  </si>
  <si>
    <t>　お使いの教科書会社をお選びください。単元名が自動で切り替わります。</t>
  </si>
  <si>
    <t>【Microsoft Excel 2003より前のバージョンをお使いの場合】</t>
  </si>
  <si>
    <t>・各教科の教科書会社のセルにお使いの教科書会社名をご入力ください。</t>
  </si>
  <si>
    <t>　教科書会社名は以下の通りです。</t>
  </si>
  <si>
    <t>＜国語＞</t>
  </si>
  <si>
    <t>＜社会＞</t>
  </si>
  <si>
    <t>＜算数＞</t>
  </si>
  <si>
    <t>＜生活＞</t>
  </si>
  <si>
    <t>＜理科＞</t>
  </si>
  <si>
    <t>＜音楽＞</t>
  </si>
  <si>
    <t>＜図画工作＞</t>
  </si>
  <si>
    <t>＜家庭＞</t>
  </si>
  <si>
    <t>＜保健＞</t>
  </si>
  <si>
    <t>東京書籍</t>
  </si>
  <si>
    <t>東京書籍</t>
  </si>
  <si>
    <t>東京書籍</t>
  </si>
  <si>
    <t>学校図書</t>
  </si>
  <si>
    <t>大日本図書</t>
  </si>
  <si>
    <t>教育芸術社</t>
  </si>
  <si>
    <t>日本文教出版</t>
  </si>
  <si>
    <t>三省堂</t>
  </si>
  <si>
    <t>光村図書</t>
  </si>
  <si>
    <t>光文書院</t>
  </si>
  <si>
    <t>学研教育みらい</t>
  </si>
  <si>
    <t>啓林館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</si>
</sst>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56">
    <font>
      <sz val="11"/>
      <color theme="1"/>
      <name val="Calibri"/>
      <family val="3"/>
    </font>
    <font>
      <sz val="11"/>
      <color indexed="8"/>
      <name val="ＭＳ Ｐゴシック"/>
      <family val="3"/>
    </font>
    <font>
      <sz val="6"/>
      <name val="ＭＳ Ｐゴシック"/>
      <family val="3"/>
    </font>
    <font>
      <sz val="6"/>
      <name val="ヒラギノ角ゴ ProN W3"/>
      <family val="3"/>
    </font>
    <font>
      <sz val="7"/>
      <name val="ＭＳ Ｐ明朝"/>
      <family val="1"/>
    </font>
    <font>
      <sz val="6"/>
      <name val="ＭＳ Ｐ明朝"/>
      <family val="1"/>
    </font>
    <font>
      <sz val="7"/>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sz val="11"/>
      <color indexed="17"/>
      <name val="ＭＳ Ｐゴシック"/>
      <family val="3"/>
    </font>
    <font>
      <sz val="11"/>
      <name val="ＭＳ ゴシック"/>
      <family val="3"/>
    </font>
    <font>
      <sz val="12"/>
      <name val="ＭＳ ゴシック"/>
      <family val="3"/>
    </font>
    <font>
      <sz val="9"/>
      <name val="ＭＳ 明朝"/>
      <family val="1"/>
    </font>
    <font>
      <sz val="8"/>
      <name val="ＭＳ ゴシック"/>
      <family val="3"/>
    </font>
    <font>
      <sz val="8"/>
      <name val="ＭＳ 明朝"/>
      <family val="1"/>
    </font>
    <font>
      <b/>
      <sz val="11"/>
      <name val="ＭＳ Ｐゴシック"/>
      <family val="3"/>
    </font>
    <font>
      <sz val="11"/>
      <color indexed="8"/>
      <name val="ＭＳ ゴシック"/>
      <family val="3"/>
    </font>
    <font>
      <sz val="6"/>
      <name val="游ゴシック"/>
      <family val="3"/>
    </font>
    <font>
      <sz val="11"/>
      <color indexed="8"/>
      <name val="游ゴシック"/>
      <family val="3"/>
    </font>
    <font>
      <sz val="18"/>
      <color indexed="56"/>
      <name val="ＭＳ Ｐゴシック"/>
      <family val="3"/>
    </font>
    <font>
      <sz val="9"/>
      <color indexed="8"/>
      <name val="ＭＳ 明朝"/>
      <family val="1"/>
    </font>
    <font>
      <sz val="7"/>
      <color indexed="8"/>
      <name val="ＭＳ 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mbria"/>
      <family val="3"/>
    </font>
    <font>
      <sz val="9"/>
      <color theme="1"/>
      <name val="ＭＳ 明朝"/>
      <family val="1"/>
    </font>
    <font>
      <sz val="11"/>
      <color theme="1"/>
      <name val="ＭＳ ゴシック"/>
      <family val="3"/>
    </font>
    <font>
      <sz val="7"/>
      <color theme="1"/>
      <name val="ＭＳ ゴシック"/>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hair"/>
      <right style="hair"/>
      <top style="hair"/>
      <bottom style="hair"/>
    </border>
    <border>
      <left style="hair"/>
      <right style="hair"/>
      <top/>
      <bottom style="hair"/>
    </border>
    <border>
      <left style="hair"/>
      <right style="hair"/>
      <top style="hair"/>
      <bottom style="thin"/>
    </border>
    <border>
      <left style="double"/>
      <right style="hair"/>
      <top style="hair"/>
      <bottom style="hair"/>
    </border>
    <border>
      <left style="thin"/>
      <right style="thin"/>
      <top/>
      <bottom style="hair"/>
    </border>
    <border>
      <left style="double"/>
      <right style="hair"/>
      <top/>
      <bottom style="hair"/>
    </border>
    <border>
      <left style="hair"/>
      <right style="double"/>
      <top/>
      <bottom style="hair"/>
    </border>
    <border>
      <left style="hair"/>
      <right/>
      <top/>
      <bottom style="hair"/>
    </border>
    <border>
      <left style="thin"/>
      <right style="thin"/>
      <top style="hair"/>
      <bottom style="hair"/>
    </border>
    <border>
      <left style="hair"/>
      <right style="double"/>
      <top style="hair"/>
      <bottom style="hair"/>
    </border>
    <border>
      <left/>
      <right style="hair"/>
      <top style="hair"/>
      <bottom style="hair"/>
    </border>
    <border>
      <left style="hair"/>
      <right/>
      <top style="hair"/>
      <bottom style="hair"/>
    </border>
    <border>
      <left style="thin"/>
      <right style="thin"/>
      <top style="hair"/>
      <bottom style="thin"/>
    </border>
    <border>
      <left style="double"/>
      <right style="hair"/>
      <top style="hair"/>
      <bottom style="thin"/>
    </border>
    <border>
      <left style="hair"/>
      <right style="double"/>
      <top style="hair"/>
      <bottom style="thin"/>
    </border>
    <border>
      <left/>
      <right style="hair"/>
      <top style="hair"/>
      <bottom style="thin"/>
    </border>
    <border>
      <left style="hair"/>
      <right/>
      <top style="hair"/>
      <bottom style="thin"/>
    </border>
    <border>
      <left style="thin"/>
      <right style="hair"/>
      <top style="hair"/>
      <bottom style="hair"/>
    </border>
    <border>
      <left style="thin"/>
      <right style="hair"/>
      <top style="hair"/>
      <bottom style="thin"/>
    </border>
    <border>
      <left/>
      <right style="hair"/>
      <top/>
      <bottom style="hair"/>
    </border>
    <border>
      <left style="hair"/>
      <right style="thin"/>
      <top style="hair"/>
      <bottom style="hair"/>
    </border>
    <border>
      <left style="double"/>
      <right style="thin"/>
      <top/>
      <bottom style="hair"/>
    </border>
    <border>
      <left/>
      <right style="thin"/>
      <top/>
      <bottom style="hair"/>
    </border>
    <border>
      <left style="double"/>
      <right style="thin"/>
      <top style="hair"/>
      <bottom style="hair"/>
    </border>
    <border>
      <left/>
      <right style="thin"/>
      <top style="hair"/>
      <bottom style="hair"/>
    </border>
    <border>
      <left style="double"/>
      <right style="thin"/>
      <top style="hair"/>
      <bottom style="thin"/>
    </border>
    <border>
      <left style="hair"/>
      <right style="thin"/>
      <top/>
      <bottom style="hair"/>
    </border>
    <border>
      <left style="hair"/>
      <right style="thin"/>
      <top style="hair"/>
      <bottom style="thin"/>
    </border>
    <border>
      <left/>
      <right style="hair"/>
      <top style="hair"/>
      <bottom/>
    </border>
    <border>
      <left style="hair"/>
      <right style="hair"/>
      <top style="hair"/>
      <bottom/>
    </border>
    <border>
      <left style="hair"/>
      <right/>
      <top style="hair"/>
      <bottom/>
    </border>
    <border>
      <left style="hair"/>
      <right style="thin"/>
      <top style="hair"/>
      <bottom/>
    </border>
    <border>
      <left style="thin"/>
      <right style="hair"/>
      <top style="hair"/>
      <bottom/>
    </border>
    <border>
      <left style="double"/>
      <right style="hair"/>
      <top style="hair"/>
      <bottom/>
    </border>
    <border>
      <left style="hair"/>
      <right style="double"/>
      <top style="hair"/>
      <bottom/>
    </border>
    <border>
      <left style="thin"/>
      <right style="thin"/>
      <top style="hair"/>
      <bottom/>
    </border>
    <border>
      <left/>
      <right/>
      <top/>
      <bottom style="thin"/>
    </border>
    <border>
      <left style="thin"/>
      <right style="double"/>
      <top style="thin"/>
      <bottom style="hair"/>
    </border>
    <border>
      <left style="thin"/>
      <right style="hair"/>
      <top style="thin"/>
      <bottom style="hair"/>
    </border>
    <border>
      <left style="hair"/>
      <right style="thin"/>
      <top style="thin"/>
      <bottom style="hair"/>
    </border>
    <border>
      <left style="thin"/>
      <right style="thin"/>
      <top style="thin"/>
      <bottom/>
    </border>
    <border>
      <left style="thin"/>
      <right/>
      <top style="thin"/>
      <bottom/>
    </border>
    <border>
      <left>
        <color indexed="63"/>
      </left>
      <right style="thin"/>
      <top style="thin"/>
      <bottom/>
    </border>
    <border>
      <left style="thin"/>
      <right style="thin"/>
      <top/>
      <bottom/>
    </border>
    <border>
      <left style="thin"/>
      <right/>
      <top/>
      <bottom/>
    </border>
    <border>
      <left>
        <color indexed="63"/>
      </left>
      <right style="thin"/>
      <top/>
      <bottom/>
    </border>
    <border>
      <left style="thin"/>
      <right style="thin"/>
      <top/>
      <bottom style="thin"/>
    </border>
    <border>
      <left style="thin"/>
      <right/>
      <top/>
      <bottom style="thin"/>
    </border>
    <border>
      <left>
        <color indexed="63"/>
      </left>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left style="double"/>
      <right style="thin"/>
      <top style="thin"/>
      <bottom/>
    </border>
    <border>
      <left style="double"/>
      <right style="thin"/>
      <top/>
      <bottom/>
    </border>
    <border>
      <left style="double"/>
      <right style="thin"/>
      <top/>
      <bottom style="thin"/>
    </border>
    <border>
      <left style="double"/>
      <right style="hair"/>
      <top style="thin"/>
      <bottom style="hair"/>
    </border>
    <border>
      <left style="hair"/>
      <right style="hair"/>
      <top style="thin"/>
      <bottom style="hair"/>
    </border>
    <border>
      <left/>
      <right style="double"/>
      <top style="thin"/>
      <bottom style="hair"/>
    </border>
    <border diagonalDown="1">
      <left style="thin"/>
      <right style="thin"/>
      <top style="thin"/>
      <bottom/>
      <diagonal style="thin"/>
    </border>
    <border diagonalDown="1">
      <left style="thin"/>
      <right style="thin"/>
      <top/>
      <bottom/>
      <diagonal style="thin"/>
    </border>
    <border diagonalDown="1">
      <left style="thin"/>
      <right style="thin"/>
      <top/>
      <bottom style="thin"/>
      <diagonal style="thin"/>
    </border>
    <border>
      <left/>
      <right style="hair"/>
      <top/>
      <bottom style="thin"/>
    </border>
    <border>
      <left style="hair"/>
      <right style="double"/>
      <top/>
      <bottom style="thin"/>
    </border>
    <border>
      <left style="thin"/>
      <right style="double"/>
      <top style="hair"/>
      <bottom style="hair"/>
    </border>
    <border>
      <left style="thin"/>
      <right style="double"/>
      <top style="hair"/>
      <bottom style="thin"/>
    </border>
    <border>
      <left style="thin"/>
      <right style="thin"/>
      <top style="thin"/>
      <bottom style="thin"/>
    </border>
    <border>
      <left/>
      <right/>
      <top style="hair"/>
      <bottom style="hair"/>
    </border>
    <border>
      <left style="thin"/>
      <right/>
      <top style="hair"/>
      <bottom style="hair"/>
    </border>
  </borders>
  <cellStyleXfs count="10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7" fillId="25" borderId="0" applyNumberFormat="0" applyBorder="0" applyAlignment="0" applyProtection="0"/>
    <xf numFmtId="0" fontId="36" fillId="26" borderId="0" applyNumberFormat="0" applyBorder="0" applyAlignment="0" applyProtection="0"/>
    <xf numFmtId="0" fontId="7" fillId="17" borderId="0" applyNumberFormat="0" applyBorder="0" applyAlignment="0" applyProtection="0"/>
    <xf numFmtId="0" fontId="36" fillId="27" borderId="0" applyNumberFormat="0" applyBorder="0" applyAlignment="0" applyProtection="0"/>
    <xf numFmtId="0" fontId="7" fillId="19" borderId="0" applyNumberFormat="0" applyBorder="0" applyAlignment="0" applyProtection="0"/>
    <xf numFmtId="0" fontId="36" fillId="28" borderId="0" applyNumberFormat="0" applyBorder="0" applyAlignment="0" applyProtection="0"/>
    <xf numFmtId="0" fontId="7" fillId="29" borderId="0" applyNumberFormat="0" applyBorder="0" applyAlignment="0" applyProtection="0"/>
    <xf numFmtId="0" fontId="36" fillId="30" borderId="0" applyNumberFormat="0" applyBorder="0" applyAlignment="0" applyProtection="0"/>
    <xf numFmtId="0" fontId="7" fillId="31" borderId="0" applyNumberFormat="0" applyBorder="0" applyAlignment="0" applyProtection="0"/>
    <xf numFmtId="0" fontId="36" fillId="32" borderId="0" applyNumberFormat="0" applyBorder="0" applyAlignment="0" applyProtection="0"/>
    <xf numFmtId="0" fontId="7" fillId="33" borderId="0" applyNumberFormat="0" applyBorder="0" applyAlignment="0" applyProtection="0"/>
    <xf numFmtId="0" fontId="36" fillId="34" borderId="0" applyNumberFormat="0" applyBorder="0" applyAlignment="0" applyProtection="0"/>
    <xf numFmtId="0" fontId="7" fillId="35" borderId="0" applyNumberFormat="0" applyBorder="0" applyAlignment="0" applyProtection="0"/>
    <xf numFmtId="0" fontId="36" fillId="36" borderId="0" applyNumberFormat="0" applyBorder="0" applyAlignment="0" applyProtection="0"/>
    <xf numFmtId="0" fontId="7" fillId="37" borderId="0" applyNumberFormat="0" applyBorder="0" applyAlignment="0" applyProtection="0"/>
    <xf numFmtId="0" fontId="36" fillId="38" borderId="0" applyNumberFormat="0" applyBorder="0" applyAlignment="0" applyProtection="0"/>
    <xf numFmtId="0" fontId="7" fillId="39" borderId="0" applyNumberFormat="0" applyBorder="0" applyAlignment="0" applyProtection="0"/>
    <xf numFmtId="0" fontId="36" fillId="40" borderId="0" applyNumberFormat="0" applyBorder="0" applyAlignment="0" applyProtection="0"/>
    <xf numFmtId="0" fontId="7" fillId="29" borderId="0" applyNumberFormat="0" applyBorder="0" applyAlignment="0" applyProtection="0"/>
    <xf numFmtId="0" fontId="36" fillId="41" borderId="0" applyNumberFormat="0" applyBorder="0" applyAlignment="0" applyProtection="0"/>
    <xf numFmtId="0" fontId="7" fillId="31" borderId="0" applyNumberFormat="0" applyBorder="0" applyAlignment="0" applyProtection="0"/>
    <xf numFmtId="0" fontId="36" fillId="42" borderId="0" applyNumberFormat="0" applyBorder="0" applyAlignment="0" applyProtection="0"/>
    <xf numFmtId="0" fontId="7" fillId="43" borderId="0" applyNumberFormat="0" applyBorder="0" applyAlignment="0" applyProtection="0"/>
    <xf numFmtId="0" fontId="37" fillId="0" borderId="0" applyNumberFormat="0" applyFill="0" applyBorder="0" applyAlignment="0" applyProtection="0"/>
    <xf numFmtId="0" fontId="8" fillId="0" borderId="0" applyNumberFormat="0" applyFill="0" applyBorder="0" applyAlignment="0" applyProtection="0"/>
    <xf numFmtId="0" fontId="38" fillId="44" borderId="1" applyNumberFormat="0" applyAlignment="0" applyProtection="0"/>
    <xf numFmtId="0" fontId="9" fillId="45" borderId="2" applyNumberFormat="0" applyAlignment="0" applyProtection="0"/>
    <xf numFmtId="0" fontId="39" fillId="46" borderId="0" applyNumberFormat="0" applyBorder="0" applyAlignment="0" applyProtection="0"/>
    <xf numFmtId="0" fontId="10" fillId="47" borderId="0" applyNumberFormat="0" applyBorder="0" applyAlignment="0" applyProtection="0"/>
    <xf numFmtId="9" fontId="0" fillId="0" borderId="0" applyFont="0" applyFill="0" applyBorder="0" applyAlignment="0" applyProtection="0"/>
    <xf numFmtId="0" fontId="0" fillId="48" borderId="3" applyNumberFormat="0" applyFont="0" applyAlignment="0" applyProtection="0"/>
    <xf numFmtId="0" fontId="1" fillId="49" borderId="4" applyNumberFormat="0" applyFont="0" applyAlignment="0" applyProtection="0"/>
    <xf numFmtId="0" fontId="40" fillId="0" borderId="5" applyNumberFormat="0" applyFill="0" applyAlignment="0" applyProtection="0"/>
    <xf numFmtId="0" fontId="11" fillId="0" borderId="6" applyNumberFormat="0" applyFill="0" applyAlignment="0" applyProtection="0"/>
    <xf numFmtId="0" fontId="41" fillId="50" borderId="0" applyNumberFormat="0" applyBorder="0" applyAlignment="0" applyProtection="0"/>
    <xf numFmtId="0" fontId="12" fillId="5" borderId="0" applyNumberFormat="0" applyBorder="0" applyAlignment="0" applyProtection="0"/>
    <xf numFmtId="0" fontId="42" fillId="51" borderId="7" applyNumberFormat="0" applyAlignment="0" applyProtection="0"/>
    <xf numFmtId="0" fontId="13" fillId="52" borderId="8" applyNumberFormat="0" applyAlignment="0" applyProtection="0"/>
    <xf numFmtId="0" fontId="43" fillId="0" borderId="0" applyNumberForma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9" applyNumberFormat="0" applyFill="0" applyAlignment="0" applyProtection="0"/>
    <xf numFmtId="0" fontId="15" fillId="0" borderId="10" applyNumberFormat="0" applyFill="0" applyAlignment="0" applyProtection="0"/>
    <xf numFmtId="0" fontId="45" fillId="0" borderId="11" applyNumberFormat="0" applyFill="0" applyAlignment="0" applyProtection="0"/>
    <xf numFmtId="0" fontId="16" fillId="0" borderId="12" applyNumberFormat="0" applyFill="0" applyAlignment="0" applyProtection="0"/>
    <xf numFmtId="0" fontId="46" fillId="0" borderId="13" applyNumberFormat="0" applyFill="0" applyAlignment="0" applyProtection="0"/>
    <xf numFmtId="0" fontId="17" fillId="0" borderId="14" applyNumberFormat="0" applyFill="0" applyAlignment="0" applyProtection="0"/>
    <xf numFmtId="0" fontId="46" fillId="0" borderId="0" applyNumberFormat="0" applyFill="0" applyBorder="0" applyAlignment="0" applyProtection="0"/>
    <xf numFmtId="0" fontId="17" fillId="0" borderId="0" applyNumberFormat="0" applyFill="0" applyBorder="0" applyAlignment="0" applyProtection="0"/>
    <xf numFmtId="0" fontId="47" fillId="0" borderId="15" applyNumberFormat="0" applyFill="0" applyAlignment="0" applyProtection="0"/>
    <xf numFmtId="0" fontId="18" fillId="0" borderId="16" applyNumberFormat="0" applyFill="0" applyAlignment="0" applyProtection="0"/>
    <xf numFmtId="0" fontId="48" fillId="51" borderId="17" applyNumberFormat="0" applyAlignment="0" applyProtection="0"/>
    <xf numFmtId="0" fontId="19" fillId="52" borderId="18" applyNumberFormat="0" applyAlignment="0" applyProtection="0"/>
    <xf numFmtId="0" fontId="49" fillId="0" borderId="0" applyNumberFormat="0" applyFill="0" applyBorder="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53" borderId="7" applyNumberFormat="0" applyAlignment="0" applyProtection="0"/>
    <xf numFmtId="0" fontId="21" fillId="13" borderId="8" applyNumberFormat="0" applyAlignment="0" applyProtection="0"/>
    <xf numFmtId="0" fontId="22" fillId="0" borderId="0">
      <alignment/>
      <protection/>
    </xf>
    <xf numFmtId="0" fontId="0" fillId="0" borderId="0">
      <alignment vertical="center"/>
      <protection/>
    </xf>
    <xf numFmtId="0" fontId="51" fillId="54" borderId="0" applyNumberFormat="0" applyBorder="0" applyAlignment="0" applyProtection="0"/>
    <xf numFmtId="0" fontId="23" fillId="7" borderId="0" applyNumberFormat="0" applyBorder="0" applyAlignment="0" applyProtection="0"/>
  </cellStyleXfs>
  <cellXfs count="154">
    <xf numFmtId="0" fontId="0" fillId="0" borderId="0" xfId="0" applyFont="1" applyAlignment="1">
      <alignment vertical="center"/>
    </xf>
    <xf numFmtId="0" fontId="5" fillId="0" borderId="19" xfId="0" applyFont="1" applyFill="1" applyBorder="1" applyAlignment="1" applyProtection="1">
      <alignment horizontal="left" vertical="top" wrapText="1"/>
      <protection locked="0"/>
    </xf>
    <xf numFmtId="0" fontId="5" fillId="0" borderId="20" xfId="0" applyFont="1" applyFill="1" applyBorder="1" applyAlignment="1" applyProtection="1">
      <alignment horizontal="left" vertical="top" wrapText="1"/>
      <protection locked="0"/>
    </xf>
    <xf numFmtId="0" fontId="6" fillId="0" borderId="19" xfId="0" applyFont="1" applyFill="1" applyBorder="1" applyAlignment="1">
      <alignment horizontal="center" vertical="center" wrapText="1"/>
    </xf>
    <xf numFmtId="0" fontId="5" fillId="0" borderId="21" xfId="0" applyFont="1" applyFill="1" applyBorder="1" applyAlignment="1" applyProtection="1">
      <alignment horizontal="left" vertical="top" wrapText="1"/>
      <protection locked="0"/>
    </xf>
    <xf numFmtId="0" fontId="5" fillId="0" borderId="19" xfId="0" applyFont="1" applyFill="1" applyBorder="1" applyAlignment="1" applyProtection="1">
      <alignment vertical="top" wrapText="1"/>
      <protection/>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3" xfId="0" applyFont="1" applyFill="1" applyBorder="1" applyAlignment="1">
      <alignment vertical="center" wrapText="1"/>
    </xf>
    <xf numFmtId="0" fontId="5" fillId="0" borderId="24" xfId="0" applyFont="1" applyFill="1" applyBorder="1" applyAlignment="1" applyProtection="1">
      <alignment vertical="top" wrapText="1"/>
      <protection locked="0"/>
    </xf>
    <xf numFmtId="0" fontId="5" fillId="0" borderId="25" xfId="0" applyFont="1" applyFill="1" applyBorder="1" applyAlignment="1" applyProtection="1">
      <alignment vertical="top" wrapText="1"/>
      <protection locked="0"/>
    </xf>
    <xf numFmtId="0" fontId="5" fillId="0" borderId="20" xfId="0" applyFont="1" applyFill="1" applyBorder="1" applyAlignment="1" applyProtection="1">
      <alignment vertical="top" wrapText="1"/>
      <protection/>
    </xf>
    <xf numFmtId="0" fontId="5" fillId="0" borderId="26" xfId="0" applyFont="1" applyFill="1" applyBorder="1" applyAlignment="1" applyProtection="1">
      <alignment horizontal="left" vertical="top" wrapText="1"/>
      <protection hidden="1"/>
    </xf>
    <xf numFmtId="0" fontId="6" fillId="0" borderId="27" xfId="0" applyFont="1" applyFill="1" applyBorder="1" applyAlignment="1">
      <alignment vertical="center" wrapText="1"/>
    </xf>
    <xf numFmtId="0" fontId="5" fillId="0" borderId="22" xfId="0" applyFont="1" applyFill="1" applyBorder="1" applyAlignment="1" applyProtection="1">
      <alignment vertical="top" wrapText="1"/>
      <protection locked="0"/>
    </xf>
    <xf numFmtId="0" fontId="5" fillId="0" borderId="28" xfId="0" applyFont="1" applyFill="1" applyBorder="1" applyAlignment="1" applyProtection="1">
      <alignment vertical="top" wrapText="1"/>
      <protection locked="0"/>
    </xf>
    <xf numFmtId="0" fontId="5" fillId="0" borderId="29" xfId="0" applyFont="1" applyFill="1" applyBorder="1" applyAlignment="1" applyProtection="1">
      <alignment vertical="top" wrapText="1"/>
      <protection/>
    </xf>
    <xf numFmtId="0" fontId="5" fillId="0" borderId="19" xfId="0" applyFont="1" applyFill="1" applyBorder="1" applyAlignment="1" applyProtection="1">
      <alignment horizontal="left" vertical="top" wrapText="1"/>
      <protection/>
    </xf>
    <xf numFmtId="0" fontId="5" fillId="0" borderId="30" xfId="0" applyFont="1" applyFill="1" applyBorder="1" applyAlignment="1" applyProtection="1">
      <alignment horizontal="left" vertical="top" wrapText="1"/>
      <protection hidden="1"/>
    </xf>
    <xf numFmtId="0" fontId="6" fillId="0" borderId="31" xfId="0" applyFont="1" applyFill="1" applyBorder="1" applyAlignment="1">
      <alignment vertical="center" wrapText="1"/>
    </xf>
    <xf numFmtId="0" fontId="5" fillId="0" borderId="32" xfId="0" applyFont="1" applyFill="1" applyBorder="1" applyAlignment="1" applyProtection="1">
      <alignment vertical="top" wrapText="1"/>
      <protection locked="0"/>
    </xf>
    <xf numFmtId="0" fontId="5" fillId="0" borderId="33" xfId="0" applyFont="1" applyFill="1" applyBorder="1" applyAlignment="1" applyProtection="1">
      <alignment vertical="top" wrapText="1"/>
      <protection locked="0"/>
    </xf>
    <xf numFmtId="0" fontId="5" fillId="0" borderId="34" xfId="0" applyFont="1" applyFill="1" applyBorder="1" applyAlignment="1" applyProtection="1">
      <alignment vertical="top" wrapText="1"/>
      <protection/>
    </xf>
    <xf numFmtId="0" fontId="5" fillId="0" borderId="21" xfId="0" applyFont="1" applyFill="1" applyBorder="1" applyAlignment="1" applyProtection="1">
      <alignment vertical="top" wrapText="1"/>
      <protection/>
    </xf>
    <xf numFmtId="0" fontId="5" fillId="0" borderId="35" xfId="0" applyFont="1" applyFill="1" applyBorder="1" applyAlignment="1" applyProtection="1">
      <alignment horizontal="left" vertical="top" wrapText="1"/>
      <protection hidden="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5" fillId="0" borderId="36" xfId="0" applyFont="1" applyFill="1" applyBorder="1" applyAlignment="1">
      <alignment vertical="top" wrapText="1"/>
    </xf>
    <xf numFmtId="0" fontId="5" fillId="0" borderId="37" xfId="0" applyFont="1" applyFill="1" applyBorder="1" applyAlignment="1">
      <alignment vertical="top" wrapText="1"/>
    </xf>
    <xf numFmtId="0" fontId="6" fillId="0" borderId="34" xfId="0" applyFont="1" applyFill="1" applyBorder="1" applyAlignment="1">
      <alignment horizontal="center" vertical="center" wrapText="1"/>
    </xf>
    <xf numFmtId="0" fontId="5" fillId="0" borderId="38" xfId="0" applyFont="1" applyFill="1" applyBorder="1" applyAlignment="1" applyProtection="1">
      <alignment vertical="top" wrapText="1"/>
      <protection/>
    </xf>
    <xf numFmtId="0" fontId="5" fillId="0" borderId="26" xfId="0" applyFont="1" applyFill="1" applyBorder="1" applyAlignment="1" applyProtection="1">
      <alignment horizontal="left" vertical="top" wrapText="1"/>
      <protection locked="0"/>
    </xf>
    <xf numFmtId="0" fontId="5" fillId="0" borderId="30" xfId="0" applyFont="1" applyFill="1" applyBorder="1" applyAlignment="1" applyProtection="1">
      <alignment horizontal="left" vertical="top" wrapText="1"/>
      <protection locked="0"/>
    </xf>
    <xf numFmtId="0" fontId="5" fillId="0" borderId="35" xfId="0" applyFont="1" applyFill="1" applyBorder="1" applyAlignment="1" applyProtection="1">
      <alignment horizontal="left" vertical="top" wrapText="1"/>
      <protection locked="0"/>
    </xf>
    <xf numFmtId="0" fontId="5" fillId="0" borderId="29" xfId="0" applyFont="1" applyFill="1" applyBorder="1" applyAlignment="1" applyProtection="1">
      <alignment horizontal="left" vertical="top" wrapText="1"/>
      <protection/>
    </xf>
    <xf numFmtId="0" fontId="5" fillId="0" borderId="34" xfId="0" applyFont="1" applyFill="1" applyBorder="1" applyAlignment="1" applyProtection="1">
      <alignment horizontal="left" vertical="top" wrapText="1"/>
      <protection/>
    </xf>
    <xf numFmtId="0" fontId="6" fillId="0" borderId="39" xfId="0" applyFont="1" applyFill="1" applyBorder="1" applyAlignment="1">
      <alignment horizontal="center" vertical="center" wrapText="1"/>
    </xf>
    <xf numFmtId="0" fontId="5" fillId="0" borderId="40" xfId="0" applyFont="1" applyFill="1" applyBorder="1" applyAlignment="1" applyProtection="1">
      <alignment horizontal="left" vertical="top" wrapText="1"/>
      <protection locked="0"/>
    </xf>
    <xf numFmtId="0" fontId="5" fillId="0" borderId="41" xfId="0" applyFont="1" applyFill="1" applyBorder="1" applyAlignment="1" applyProtection="1">
      <alignment horizontal="left" vertical="top" wrapText="1"/>
      <protection locked="0"/>
    </xf>
    <xf numFmtId="0" fontId="5" fillId="0" borderId="42" xfId="0" applyFont="1" applyFill="1" applyBorder="1" applyAlignment="1" applyProtection="1">
      <alignment horizontal="left" vertical="top" wrapText="1"/>
      <protection locked="0"/>
    </xf>
    <xf numFmtId="0" fontId="5" fillId="0" borderId="43" xfId="0" applyFont="1" applyFill="1" applyBorder="1" applyAlignment="1" applyProtection="1">
      <alignment horizontal="left" vertical="top" wrapText="1"/>
      <protection locked="0"/>
    </xf>
    <xf numFmtId="0" fontId="5" fillId="0" borderId="44" xfId="0" applyFont="1" applyFill="1" applyBorder="1" applyAlignment="1" applyProtection="1">
      <alignment horizontal="left" vertical="top" wrapText="1"/>
      <protection locked="0"/>
    </xf>
    <xf numFmtId="0" fontId="5" fillId="0" borderId="31" xfId="0" applyFont="1" applyFill="1" applyBorder="1" applyAlignment="1" applyProtection="1">
      <alignment horizontal="left" vertical="top" wrapText="1"/>
      <protection locked="0"/>
    </xf>
    <xf numFmtId="0" fontId="5" fillId="0" borderId="38" xfId="0" applyFont="1" applyFill="1" applyBorder="1" applyAlignment="1" applyProtection="1">
      <alignment horizontal="left" vertical="top" wrapText="1"/>
      <protection/>
    </xf>
    <xf numFmtId="176" fontId="5" fillId="0" borderId="45" xfId="0" applyNumberFormat="1" applyFont="1" applyFill="1" applyBorder="1" applyAlignment="1" applyProtection="1">
      <alignment horizontal="left" vertical="top" wrapText="1"/>
      <protection hidden="1"/>
    </xf>
    <xf numFmtId="176" fontId="5" fillId="0" borderId="39" xfId="0" applyNumberFormat="1" applyFont="1" applyFill="1" applyBorder="1" applyAlignment="1" applyProtection="1">
      <alignment horizontal="left" vertical="top" wrapText="1"/>
      <protection hidden="1"/>
    </xf>
    <xf numFmtId="176" fontId="5" fillId="0" borderId="46" xfId="0" applyNumberFormat="1" applyFont="1" applyFill="1" applyBorder="1" applyAlignment="1" applyProtection="1">
      <alignment horizontal="left" vertical="top" wrapText="1"/>
      <protection hidden="1"/>
    </xf>
    <xf numFmtId="176" fontId="5" fillId="0" borderId="24" xfId="0" applyNumberFormat="1" applyFont="1" applyFill="1" applyBorder="1" applyAlignment="1" applyProtection="1">
      <alignment vertical="top" wrapText="1"/>
      <protection hidden="1"/>
    </xf>
    <xf numFmtId="176" fontId="5" fillId="0" borderId="20" xfId="0" applyNumberFormat="1" applyFont="1" applyFill="1" applyBorder="1" applyAlignment="1" applyProtection="1">
      <alignment vertical="top" wrapText="1"/>
      <protection hidden="1"/>
    </xf>
    <xf numFmtId="176" fontId="5" fillId="0" borderId="22" xfId="0" applyNumberFormat="1" applyFont="1" applyFill="1" applyBorder="1" applyAlignment="1" applyProtection="1">
      <alignment vertical="top" wrapText="1"/>
      <protection hidden="1"/>
    </xf>
    <xf numFmtId="176" fontId="5" fillId="0" borderId="19" xfId="0" applyNumberFormat="1" applyFont="1" applyFill="1" applyBorder="1" applyAlignment="1" applyProtection="1">
      <alignment vertical="top" wrapText="1"/>
      <protection hidden="1"/>
    </xf>
    <xf numFmtId="176" fontId="5" fillId="0" borderId="19" xfId="0" applyNumberFormat="1" applyFont="1" applyFill="1" applyBorder="1" applyAlignment="1" applyProtection="1">
      <alignment horizontal="left" vertical="top" wrapText="1"/>
      <protection hidden="1"/>
    </xf>
    <xf numFmtId="176" fontId="5" fillId="0" borderId="32" xfId="0" applyNumberFormat="1" applyFont="1" applyFill="1" applyBorder="1" applyAlignment="1" applyProtection="1">
      <alignment vertical="top" wrapText="1"/>
      <protection hidden="1"/>
    </xf>
    <xf numFmtId="176" fontId="5" fillId="0" borderId="21" xfId="0" applyNumberFormat="1" applyFont="1" applyFill="1" applyBorder="1" applyAlignment="1" applyProtection="1">
      <alignment vertical="top" wrapText="1"/>
      <protection hidden="1"/>
    </xf>
    <xf numFmtId="0" fontId="6" fillId="0" borderId="32"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center" vertical="center" wrapText="1"/>
      <protection locked="0"/>
    </xf>
    <xf numFmtId="0" fontId="6" fillId="0" borderId="46" xfId="0" applyFont="1" applyFill="1" applyBorder="1" applyAlignment="1" applyProtection="1">
      <alignment horizontal="center" vertical="center" wrapText="1"/>
      <protection locked="0"/>
    </xf>
    <xf numFmtId="0" fontId="5" fillId="0" borderId="39" xfId="0" applyFont="1" applyFill="1" applyBorder="1" applyAlignment="1" applyProtection="1">
      <alignment horizontal="left" vertical="top" wrapText="1"/>
      <protection locked="0"/>
    </xf>
    <xf numFmtId="0" fontId="5" fillId="0" borderId="45" xfId="0" applyFont="1" applyFill="1" applyBorder="1" applyAlignment="1" applyProtection="1">
      <alignment horizontal="left" vertical="top" wrapText="1"/>
      <protection locked="0"/>
    </xf>
    <xf numFmtId="0" fontId="5" fillId="0" borderId="47" xfId="0" applyFont="1" applyFill="1" applyBorder="1" applyAlignment="1" applyProtection="1">
      <alignment vertical="top" wrapText="1"/>
      <protection/>
    </xf>
    <xf numFmtId="0" fontId="5" fillId="0" borderId="48" xfId="0" applyFont="1" applyFill="1" applyBorder="1" applyAlignment="1" applyProtection="1">
      <alignment vertical="top" wrapText="1"/>
      <protection/>
    </xf>
    <xf numFmtId="0" fontId="5" fillId="0" borderId="48" xfId="0" applyFont="1" applyFill="1" applyBorder="1" applyAlignment="1" applyProtection="1">
      <alignment horizontal="left" vertical="top" wrapText="1"/>
      <protection locked="0"/>
    </xf>
    <xf numFmtId="0" fontId="5" fillId="0" borderId="49" xfId="0" applyFont="1" applyFill="1" applyBorder="1" applyAlignment="1" applyProtection="1">
      <alignment horizontal="left" vertical="top" wrapText="1"/>
      <protection locked="0"/>
    </xf>
    <xf numFmtId="0" fontId="5" fillId="0" borderId="49" xfId="0" applyFont="1" applyFill="1" applyBorder="1" applyAlignment="1" applyProtection="1">
      <alignment horizontal="left" vertical="top" wrapText="1"/>
      <protection hidden="1"/>
    </xf>
    <xf numFmtId="0" fontId="5" fillId="0" borderId="50" xfId="0" applyFont="1" applyFill="1" applyBorder="1" applyAlignment="1" applyProtection="1">
      <alignment horizontal="left" vertical="top" wrapText="1"/>
      <protection locked="0"/>
    </xf>
    <xf numFmtId="0" fontId="5" fillId="0" borderId="46" xfId="0" applyFont="1" applyFill="1" applyBorder="1" applyAlignment="1" applyProtection="1">
      <alignment horizontal="left" vertical="top" wrapText="1"/>
      <protection locked="0"/>
    </xf>
    <xf numFmtId="0" fontId="5" fillId="0" borderId="51" xfId="0" applyFont="1" applyFill="1" applyBorder="1" applyAlignment="1">
      <alignment vertical="top" wrapText="1"/>
    </xf>
    <xf numFmtId="0" fontId="5" fillId="0" borderId="52" xfId="0" applyFont="1" applyFill="1" applyBorder="1" applyAlignment="1" applyProtection="1">
      <alignment vertical="top" wrapText="1"/>
      <protection locked="0"/>
    </xf>
    <xf numFmtId="0" fontId="5" fillId="0" borderId="53" xfId="0" applyFont="1" applyFill="1" applyBorder="1" applyAlignment="1" applyProtection="1">
      <alignment vertical="top" wrapText="1"/>
      <protection locked="0"/>
    </xf>
    <xf numFmtId="176" fontId="5" fillId="0" borderId="28" xfId="0" applyNumberFormat="1" applyFont="1" applyFill="1" applyBorder="1" applyAlignment="1" applyProtection="1">
      <alignment horizontal="left" vertical="top" wrapText="1"/>
      <protection hidden="1"/>
    </xf>
    <xf numFmtId="0" fontId="25" fillId="0" borderId="0" xfId="0" applyFont="1" applyFill="1" applyAlignment="1">
      <alignment vertical="center"/>
    </xf>
    <xf numFmtId="0" fontId="26" fillId="0" borderId="0" xfId="0" applyFont="1" applyFill="1" applyAlignment="1">
      <alignment vertical="center"/>
    </xf>
    <xf numFmtId="0" fontId="27" fillId="0" borderId="0" xfId="0" applyFont="1" applyFill="1" applyBorder="1" applyAlignment="1">
      <alignment horizontal="center" vertical="center"/>
    </xf>
    <xf numFmtId="0" fontId="28" fillId="0" borderId="0" xfId="0" applyFont="1" applyFill="1" applyAlignment="1">
      <alignment vertical="center"/>
    </xf>
    <xf numFmtId="0" fontId="27" fillId="0" borderId="0" xfId="0" applyFont="1" applyFill="1" applyBorder="1" applyAlignment="1">
      <alignment vertical="center" shrinkToFit="1"/>
    </xf>
    <xf numFmtId="0" fontId="26" fillId="0" borderId="0" xfId="0" applyFont="1" applyFill="1" applyAlignment="1">
      <alignment horizontal="center" vertical="center" shrinkToFit="1"/>
    </xf>
    <xf numFmtId="0" fontId="6" fillId="0" borderId="54" xfId="0" applyFont="1" applyFill="1" applyBorder="1" applyAlignment="1">
      <alignment vertical="center" wrapText="1"/>
    </xf>
    <xf numFmtId="0" fontId="24" fillId="0" borderId="0" xfId="0" applyFont="1" applyFill="1" applyAlignment="1">
      <alignment vertical="center"/>
    </xf>
    <xf numFmtId="0" fontId="28" fillId="0" borderId="0" xfId="0" applyFont="1" applyFill="1" applyBorder="1" applyAlignment="1">
      <alignment vertical="center"/>
    </xf>
    <xf numFmtId="0" fontId="26" fillId="0" borderId="0" xfId="0" applyFont="1" applyFill="1" applyAlignment="1">
      <alignment horizontal="left" vertical="center"/>
    </xf>
    <xf numFmtId="0" fontId="27" fillId="0" borderId="55" xfId="0" applyFont="1" applyFill="1" applyBorder="1" applyAlignment="1">
      <alignment vertical="center" shrinkToFit="1"/>
    </xf>
    <xf numFmtId="0" fontId="5" fillId="0" borderId="47" xfId="0" applyFont="1" applyFill="1" applyBorder="1" applyAlignment="1" applyProtection="1">
      <alignment horizontal="left" vertical="top" wrapText="1"/>
      <protection/>
    </xf>
    <xf numFmtId="0" fontId="24" fillId="0" borderId="55" xfId="0" applyFont="1" applyFill="1" applyBorder="1" applyAlignment="1">
      <alignment vertical="center"/>
    </xf>
    <xf numFmtId="0" fontId="24" fillId="0" borderId="0" xfId="0" applyFont="1" applyFill="1" applyBorder="1" applyAlignment="1">
      <alignment vertical="center"/>
    </xf>
    <xf numFmtId="0" fontId="6" fillId="0" borderId="56" xfId="0" applyFont="1" applyFill="1" applyBorder="1" applyAlignment="1">
      <alignment horizontal="center" vertical="center" wrapText="1"/>
    </xf>
    <xf numFmtId="0" fontId="52" fillId="0" borderId="55" xfId="0" applyFont="1" applyFill="1" applyBorder="1" applyAlignment="1">
      <alignment vertical="center"/>
    </xf>
    <xf numFmtId="0" fontId="6" fillId="0" borderId="46" xfId="0" applyFont="1" applyFill="1" applyBorder="1" applyAlignment="1">
      <alignment horizontal="center" vertical="center" wrapText="1"/>
    </xf>
    <xf numFmtId="0" fontId="53" fillId="0" borderId="0" xfId="0" applyFont="1" applyFill="1" applyAlignment="1">
      <alignment vertical="center"/>
    </xf>
    <xf numFmtId="0" fontId="27" fillId="0" borderId="57" xfId="0" applyFont="1" applyBorder="1" applyAlignment="1" applyProtection="1">
      <alignment horizontal="left" vertical="center" wrapText="1"/>
      <protection/>
    </xf>
    <xf numFmtId="0" fontId="27" fillId="0" borderId="58" xfId="0" applyFont="1" applyBorder="1" applyAlignment="1" applyProtection="1">
      <alignment horizontal="left" vertical="center" wrapText="1"/>
      <protection/>
    </xf>
    <xf numFmtId="0" fontId="27" fillId="0" borderId="36" xfId="0" applyFont="1" applyBorder="1" applyAlignment="1" applyProtection="1">
      <alignment horizontal="left" vertical="center" wrapText="1"/>
      <protection/>
    </xf>
    <xf numFmtId="0" fontId="27" fillId="0" borderId="39" xfId="0" applyFont="1" applyBorder="1" applyAlignment="1" applyProtection="1">
      <alignment horizontal="left" vertical="center" wrapText="1"/>
      <protection/>
    </xf>
    <xf numFmtId="0" fontId="27" fillId="0" borderId="39" xfId="0" applyFont="1" applyFill="1" applyBorder="1" applyAlignment="1" applyProtection="1">
      <alignment horizontal="left" vertical="center" wrapText="1"/>
      <protection/>
    </xf>
    <xf numFmtId="0" fontId="27" fillId="0" borderId="36" xfId="0" applyFont="1" applyBorder="1" applyAlignment="1">
      <alignment horizontal="left" vertical="center"/>
    </xf>
    <xf numFmtId="0" fontId="27" fillId="0" borderId="39" xfId="0" applyFont="1" applyBorder="1" applyAlignment="1">
      <alignment horizontal="left" vertical="center"/>
    </xf>
    <xf numFmtId="0" fontId="27" fillId="0" borderId="37" xfId="0" applyFont="1" applyBorder="1" applyAlignment="1">
      <alignment horizontal="left" vertical="center"/>
    </xf>
    <xf numFmtId="0" fontId="27" fillId="0" borderId="46" xfId="0" applyFont="1" applyBorder="1" applyAlignment="1">
      <alignment horizontal="left" vertical="center"/>
    </xf>
    <xf numFmtId="0" fontId="29" fillId="0" borderId="0" xfId="0" applyFont="1" applyFill="1" applyBorder="1" applyAlignment="1">
      <alignment vertical="center"/>
    </xf>
    <xf numFmtId="0" fontId="54" fillId="0" borderId="0" xfId="0" applyFont="1" applyAlignment="1">
      <alignment vertical="center"/>
    </xf>
    <xf numFmtId="0" fontId="54" fillId="0" borderId="0" xfId="0" applyFont="1" applyBorder="1" applyAlignment="1">
      <alignment vertical="center"/>
    </xf>
    <xf numFmtId="0" fontId="54" fillId="0" borderId="59" xfId="0" applyFont="1" applyBorder="1" applyAlignment="1">
      <alignment vertical="center"/>
    </xf>
    <xf numFmtId="0" fontId="54" fillId="0" borderId="60" xfId="0" applyFont="1" applyBorder="1" applyAlignment="1">
      <alignment vertical="center"/>
    </xf>
    <xf numFmtId="0" fontId="54" fillId="0" borderId="61" xfId="0" applyFont="1" applyBorder="1" applyAlignment="1">
      <alignment vertical="center"/>
    </xf>
    <xf numFmtId="0" fontId="55" fillId="0" borderId="62" xfId="0" applyFont="1" applyBorder="1" applyAlignment="1">
      <alignment horizontal="center" vertical="center"/>
    </xf>
    <xf numFmtId="0" fontId="55" fillId="0" borderId="63" xfId="0" applyFont="1" applyBorder="1" applyAlignment="1">
      <alignment horizontal="center" vertical="center"/>
    </xf>
    <xf numFmtId="0" fontId="55" fillId="0" borderId="64" xfId="0" applyFont="1" applyBorder="1" applyAlignment="1">
      <alignment horizontal="center" vertical="center"/>
    </xf>
    <xf numFmtId="0" fontId="55" fillId="0" borderId="65" xfId="0" applyFont="1" applyBorder="1" applyAlignment="1">
      <alignment horizontal="center" vertical="center"/>
    </xf>
    <xf numFmtId="0" fontId="55" fillId="0" borderId="66" xfId="0" applyFont="1" applyBorder="1" applyAlignment="1">
      <alignment horizontal="center" vertical="center"/>
    </xf>
    <xf numFmtId="0" fontId="55" fillId="0" borderId="0" xfId="0" applyFont="1" applyAlignment="1">
      <alignment horizontal="center" vertical="center"/>
    </xf>
    <xf numFmtId="0" fontId="55" fillId="0" borderId="67" xfId="0" applyFont="1" applyBorder="1" applyAlignment="1">
      <alignment horizontal="center" vertical="center"/>
    </xf>
    <xf numFmtId="0" fontId="27" fillId="0" borderId="0" xfId="0" applyFont="1" applyFill="1" applyBorder="1" applyAlignment="1">
      <alignment vertical="center" shrinkToFit="1"/>
    </xf>
    <xf numFmtId="0" fontId="27" fillId="0" borderId="0" xfId="0" applyFont="1" applyFill="1" applyBorder="1" applyAlignment="1">
      <alignment horizontal="center" vertical="center"/>
    </xf>
    <xf numFmtId="0" fontId="27" fillId="0" borderId="59" xfId="0" applyFont="1" applyFill="1" applyBorder="1" applyAlignment="1">
      <alignment horizontal="center" vertical="center"/>
    </xf>
    <xf numFmtId="0" fontId="27" fillId="0" borderId="62" xfId="0" applyFont="1" applyFill="1" applyBorder="1" applyAlignment="1">
      <alignment horizontal="center" vertical="center"/>
    </xf>
    <xf numFmtId="0" fontId="27" fillId="0" borderId="65" xfId="0" applyFont="1" applyFill="1" applyBorder="1" applyAlignment="1">
      <alignment horizontal="center" vertical="center"/>
    </xf>
    <xf numFmtId="0" fontId="27" fillId="0" borderId="68" xfId="0" applyFont="1" applyFill="1" applyBorder="1" applyAlignment="1">
      <alignment horizontal="center" vertical="center"/>
    </xf>
    <xf numFmtId="0" fontId="27" fillId="0" borderId="69" xfId="0" applyFont="1" applyFill="1" applyBorder="1" applyAlignment="1">
      <alignment horizontal="center" vertical="center"/>
    </xf>
    <xf numFmtId="0" fontId="27" fillId="0" borderId="70" xfId="0" applyFont="1" applyFill="1" applyBorder="1" applyAlignment="1">
      <alignment horizontal="center" vertical="center"/>
    </xf>
    <xf numFmtId="0" fontId="27" fillId="0" borderId="71" xfId="0" applyFont="1" applyFill="1" applyBorder="1" applyAlignment="1">
      <alignment horizontal="center" vertical="center" shrinkToFit="1"/>
    </xf>
    <xf numFmtId="0" fontId="27" fillId="0" borderId="72" xfId="0" applyFont="1" applyFill="1" applyBorder="1" applyAlignment="1">
      <alignment horizontal="center" vertical="center" shrinkToFit="1"/>
    </xf>
    <xf numFmtId="0" fontId="27" fillId="0" borderId="73" xfId="0" applyFont="1" applyFill="1" applyBorder="1" applyAlignment="1">
      <alignment horizontal="center" vertical="center" shrinkToFit="1"/>
    </xf>
    <xf numFmtId="0" fontId="27" fillId="0" borderId="74" xfId="0" applyFont="1" applyFill="1" applyBorder="1" applyAlignment="1">
      <alignment horizontal="center" vertical="center" shrinkToFit="1"/>
    </xf>
    <xf numFmtId="0" fontId="27" fillId="0" borderId="75" xfId="0" applyFont="1" applyFill="1" applyBorder="1" applyAlignment="1">
      <alignment horizontal="center" vertical="center" shrinkToFit="1"/>
    </xf>
    <xf numFmtId="0" fontId="27" fillId="0" borderId="76" xfId="0" applyFont="1" applyFill="1" applyBorder="1" applyAlignment="1">
      <alignment horizontal="center" vertical="center" shrinkToFit="1"/>
    </xf>
    <xf numFmtId="0" fontId="6" fillId="0" borderId="77"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6" fillId="0" borderId="80" xfId="0" applyFont="1" applyFill="1" applyBorder="1" applyAlignment="1">
      <alignment horizontal="center" vertical="center" wrapText="1"/>
    </xf>
    <xf numFmtId="0" fontId="6" fillId="0" borderId="81"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82" xfId="0" applyFont="1" applyFill="1" applyBorder="1" applyAlignment="1">
      <alignment horizontal="center" vertical="center" wrapText="1"/>
    </xf>
    <xf numFmtId="0" fontId="6" fillId="0" borderId="83" xfId="0" applyFont="1" applyFill="1" applyBorder="1" applyAlignment="1">
      <alignment horizontal="left" vertical="top" wrapText="1"/>
    </xf>
    <xf numFmtId="0" fontId="6" fillId="0" borderId="84" xfId="0" applyFont="1" applyFill="1" applyBorder="1" applyAlignment="1">
      <alignment horizontal="left" vertical="top" wrapText="1"/>
    </xf>
    <xf numFmtId="0" fontId="6" fillId="0" borderId="85" xfId="0" applyFont="1" applyFill="1" applyBorder="1" applyAlignment="1">
      <alignment horizontal="left" vertical="top" wrapText="1"/>
    </xf>
    <xf numFmtId="0" fontId="6" fillId="0" borderId="47" xfId="0" applyFont="1" applyFill="1" applyBorder="1" applyAlignment="1">
      <alignment horizontal="center" vertical="center" wrapText="1"/>
    </xf>
    <xf numFmtId="0" fontId="6" fillId="0" borderId="86"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87" xfId="0" applyFont="1" applyFill="1" applyBorder="1" applyAlignment="1">
      <alignment horizontal="center" vertical="center" wrapText="1"/>
    </xf>
    <xf numFmtId="0" fontId="6" fillId="0" borderId="88" xfId="0" applyFont="1" applyFill="1" applyBorder="1" applyAlignment="1">
      <alignment horizontal="center" vertical="center" wrapText="1"/>
    </xf>
    <xf numFmtId="0" fontId="6" fillId="0" borderId="89" xfId="0" applyFont="1" applyFill="1" applyBorder="1" applyAlignment="1">
      <alignment horizontal="center" vertical="center" wrapText="1"/>
    </xf>
    <xf numFmtId="0" fontId="27" fillId="0" borderId="90" xfId="0" applyFont="1" applyFill="1" applyBorder="1" applyAlignment="1">
      <alignment horizontal="center" vertical="center"/>
    </xf>
    <xf numFmtId="0" fontId="27" fillId="0" borderId="90" xfId="0" applyFont="1" applyFill="1" applyBorder="1" applyAlignment="1">
      <alignment horizontal="center" vertical="center" shrinkToFit="1"/>
    </xf>
    <xf numFmtId="0" fontId="6" fillId="0" borderId="30"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91"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71"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92" xfId="0" applyFont="1" applyFill="1" applyBorder="1" applyAlignment="1">
      <alignment horizontal="center" vertical="center" wrapText="1"/>
    </xf>
  </cellXfs>
  <cellStyles count="90">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xfId="100"/>
    <cellStyle name="標準 3" xfId="101"/>
    <cellStyle name="良い" xfId="102"/>
    <cellStyle name="良い 2"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171450</xdr:colOff>
      <xdr:row>0</xdr:row>
      <xdr:rowOff>0</xdr:rowOff>
    </xdr:from>
    <xdr:to>
      <xdr:col>13</xdr:col>
      <xdr:colOff>704850</xdr:colOff>
      <xdr:row>0</xdr:row>
      <xdr:rowOff>180975</xdr:rowOff>
    </xdr:to>
    <xdr:pic>
      <xdr:nvPicPr>
        <xdr:cNvPr id="1" name="Picture 1" descr="kabu_B"/>
        <xdr:cNvPicPr preferRelativeResize="1">
          <a:picLocks noChangeAspect="1"/>
        </xdr:cNvPicPr>
      </xdr:nvPicPr>
      <xdr:blipFill>
        <a:blip r:embed="rId1"/>
        <a:stretch>
          <a:fillRect/>
        </a:stretch>
      </xdr:blipFill>
      <xdr:spPr>
        <a:xfrm>
          <a:off x="11972925" y="0"/>
          <a:ext cx="1247775" cy="180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704850</xdr:colOff>
      <xdr:row>0</xdr:row>
      <xdr:rowOff>0</xdr:rowOff>
    </xdr:from>
    <xdr:to>
      <xdr:col>29</xdr:col>
      <xdr:colOff>971550</xdr:colOff>
      <xdr:row>1</xdr:row>
      <xdr:rowOff>0</xdr:rowOff>
    </xdr:to>
    <xdr:pic>
      <xdr:nvPicPr>
        <xdr:cNvPr id="1" name="Picture 1" descr="kabu_B"/>
        <xdr:cNvPicPr preferRelativeResize="1">
          <a:picLocks noChangeAspect="1"/>
        </xdr:cNvPicPr>
      </xdr:nvPicPr>
      <xdr:blipFill>
        <a:blip r:embed="rId1"/>
        <a:stretch>
          <a:fillRect/>
        </a:stretch>
      </xdr:blipFill>
      <xdr:spPr>
        <a:xfrm>
          <a:off x="28270200" y="0"/>
          <a:ext cx="1247775"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58"/>
  <sheetViews>
    <sheetView tabSelected="1" view="pageBreakPreview" zoomScaleSheetLayoutView="100" zoomScalePageLayoutView="0" workbookViewId="0" topLeftCell="A1">
      <selection activeCell="A1" sqref="A1"/>
    </sheetView>
  </sheetViews>
  <sheetFormatPr defaultColWidth="9.00390625" defaultRowHeight="15"/>
  <cols>
    <col min="1" max="1" width="16.140625" style="75" customWidth="1"/>
    <col min="2" max="2" width="15.7109375" style="71" customWidth="1"/>
    <col min="3" max="3" width="14.7109375" style="71" customWidth="1"/>
    <col min="4" max="4" width="12.7109375" style="71" customWidth="1"/>
    <col min="5" max="12" width="14.7109375" style="71" customWidth="1"/>
    <col min="13" max="14" width="10.7109375" style="71" customWidth="1"/>
    <col min="15" max="15" width="5.28125" style="71" customWidth="1"/>
    <col min="16" max="16384" width="9.00390625" style="71" customWidth="1"/>
  </cols>
  <sheetData>
    <row r="1" spans="1:6" ht="14.25">
      <c r="A1" s="85" t="s">
        <v>308</v>
      </c>
      <c r="B1" s="83"/>
      <c r="C1" s="83"/>
      <c r="D1" s="77"/>
      <c r="E1" s="70"/>
      <c r="F1" s="70"/>
    </row>
    <row r="2" spans="1:12" s="73" customFormat="1" ht="9">
      <c r="A2" s="112" t="s">
        <v>1</v>
      </c>
      <c r="B2" s="115" t="s">
        <v>0</v>
      </c>
      <c r="C2" s="116"/>
      <c r="D2" s="117"/>
      <c r="E2" s="72"/>
      <c r="F2" s="72"/>
      <c r="G2" s="72"/>
      <c r="H2" s="72"/>
      <c r="K2" s="111"/>
      <c r="L2" s="111"/>
    </row>
    <row r="3" spans="1:12" s="73" customFormat="1" ht="9">
      <c r="A3" s="113"/>
      <c r="B3" s="118" t="s">
        <v>17</v>
      </c>
      <c r="C3" s="119"/>
      <c r="D3" s="120"/>
      <c r="E3" s="72"/>
      <c r="F3" s="74"/>
      <c r="G3" s="74"/>
      <c r="H3" s="74"/>
      <c r="K3" s="110"/>
      <c r="L3" s="110"/>
    </row>
    <row r="4" spans="1:12" s="73" customFormat="1" ht="9">
      <c r="A4" s="114"/>
      <c r="B4" s="121" t="s">
        <v>18</v>
      </c>
      <c r="C4" s="122"/>
      <c r="D4" s="123"/>
      <c r="E4" s="72"/>
      <c r="F4" s="74"/>
      <c r="G4" s="74"/>
      <c r="H4" s="74"/>
      <c r="K4" s="110"/>
      <c r="L4" s="110"/>
    </row>
    <row r="5" ht="5.25" customHeight="1"/>
    <row r="6" spans="1:14" s="25" customFormat="1" ht="19.5" customHeight="1">
      <c r="A6" s="135" t="s">
        <v>14</v>
      </c>
      <c r="B6" s="84" t="s">
        <v>10</v>
      </c>
      <c r="C6" s="133" t="s">
        <v>5</v>
      </c>
      <c r="D6" s="134"/>
      <c r="E6" s="130" t="s">
        <v>169</v>
      </c>
      <c r="F6" s="131"/>
      <c r="G6" s="131"/>
      <c r="H6" s="131"/>
      <c r="I6" s="131"/>
      <c r="J6" s="131"/>
      <c r="K6" s="131"/>
      <c r="L6" s="132"/>
      <c r="M6" s="124" t="s">
        <v>165</v>
      </c>
      <c r="N6" s="127" t="s">
        <v>166</v>
      </c>
    </row>
    <row r="7" spans="1:14" s="25" customFormat="1" ht="19.5" customHeight="1">
      <c r="A7" s="136"/>
      <c r="B7" s="142" t="s">
        <v>6</v>
      </c>
      <c r="C7" s="138" t="s">
        <v>13</v>
      </c>
      <c r="D7" s="140" t="s">
        <v>16</v>
      </c>
      <c r="E7" s="6" t="s">
        <v>2</v>
      </c>
      <c r="F7" s="3" t="s">
        <v>8</v>
      </c>
      <c r="G7" s="3" t="s">
        <v>3</v>
      </c>
      <c r="H7" s="3" t="s">
        <v>9</v>
      </c>
      <c r="I7" s="3" t="s">
        <v>4</v>
      </c>
      <c r="J7" s="3" t="s">
        <v>12</v>
      </c>
      <c r="K7" s="3" t="s">
        <v>7</v>
      </c>
      <c r="L7" s="36" t="s">
        <v>11</v>
      </c>
      <c r="M7" s="125"/>
      <c r="N7" s="128"/>
    </row>
    <row r="8" spans="1:14" s="25" customFormat="1" ht="19.5" customHeight="1">
      <c r="A8" s="137"/>
      <c r="B8" s="143"/>
      <c r="C8" s="139"/>
      <c r="D8" s="141"/>
      <c r="E8" s="54" t="s">
        <v>315</v>
      </c>
      <c r="F8" s="55" t="s">
        <v>311</v>
      </c>
      <c r="G8" s="55" t="s">
        <v>311</v>
      </c>
      <c r="H8" s="55" t="s">
        <v>319</v>
      </c>
      <c r="I8" s="55" t="s">
        <v>324</v>
      </c>
      <c r="J8" s="55" t="s">
        <v>327</v>
      </c>
      <c r="K8" s="55" t="s">
        <v>6</v>
      </c>
      <c r="L8" s="56" t="s">
        <v>329</v>
      </c>
      <c r="M8" s="126"/>
      <c r="N8" s="129"/>
    </row>
    <row r="9" spans="1:14" s="26" customFormat="1" ht="72.75" customHeight="1">
      <c r="A9" s="13" t="s">
        <v>267</v>
      </c>
      <c r="B9" s="27" t="s">
        <v>288</v>
      </c>
      <c r="C9" s="14"/>
      <c r="D9" s="15"/>
      <c r="E9" s="47" t="str">
        <f>HLOOKUP(E8,国語,2,FALSE)</f>
        <v>●大きな力を出す/5月
●動いて，考えて，また動く/5月
●アップとルーズで伝える/11月
●「クラブ活動リーフレット」を作ろう/11月
●プラタナスの木/12月
●聞き取りメモの工夫/2月</v>
      </c>
      <c r="F9" s="48">
        <f>HLOOKUP(F8,社会,2,FALSE)</f>
        <v>0</v>
      </c>
      <c r="G9" s="48">
        <f>HLOOKUP(G8,算数,2,FALSE)</f>
        <v>0</v>
      </c>
      <c r="H9" s="48">
        <f>HLOOKUP(H8,理科,2,FALSE)</f>
        <v>0</v>
      </c>
      <c r="I9" s="48">
        <f>HLOOKUP(I8,音楽,2,FALSE)</f>
        <v>0</v>
      </c>
      <c r="J9" s="48" t="str">
        <f>HLOOKUP(J8,図画工作,2,FALSE)</f>
        <v>●見つけたよ ためしたよ/形や色を楽しもう/4月</v>
      </c>
      <c r="K9" s="1"/>
      <c r="L9" s="44">
        <f>HLOOKUP(L8,保健,2,FALSE)</f>
        <v>0</v>
      </c>
      <c r="M9" s="37"/>
      <c r="N9" s="38"/>
    </row>
    <row r="10" spans="1:14" s="26" customFormat="1" ht="67.5" customHeight="1">
      <c r="A10" s="13" t="s">
        <v>268</v>
      </c>
      <c r="B10" s="66" t="s">
        <v>289</v>
      </c>
      <c r="C10" s="14"/>
      <c r="D10" s="15"/>
      <c r="E10" s="49" t="str">
        <f>HLOOKUP(E8,国語,3,FALSE)</f>
        <v>●かげ/7月
●ごんぎつね/10月</v>
      </c>
      <c r="F10" s="50">
        <f>HLOOKUP(F8,社会,3,FALSE)</f>
        <v>0</v>
      </c>
      <c r="G10" s="50">
        <f>HLOOKUP(G8,算数,3,FALSE)</f>
        <v>0</v>
      </c>
      <c r="H10" s="50">
        <f>HLOOKUP(H8,理科,3,FALSE)</f>
        <v>0</v>
      </c>
      <c r="I10" s="50" t="str">
        <f>HLOOKUP(I8,音楽,3,FALSE)</f>
        <v>●明るい歌声をひびかせよう/4月
●曲の気分を感じ取ろう/2月</v>
      </c>
      <c r="J10" s="50">
        <f>HLOOKUP(J8,図画工作,3,FALSE)</f>
        <v>0</v>
      </c>
      <c r="K10" s="1"/>
      <c r="L10" s="45">
        <f>HLOOKUP(L8,保健,3,FALSE)</f>
        <v>0</v>
      </c>
      <c r="M10" s="39"/>
      <c r="N10" s="40"/>
    </row>
    <row r="11" spans="1:14" s="26" customFormat="1" ht="60" customHeight="1">
      <c r="A11" s="8" t="s">
        <v>269</v>
      </c>
      <c r="B11" s="27" t="s">
        <v>290</v>
      </c>
      <c r="C11" s="9" t="s">
        <v>23</v>
      </c>
      <c r="D11" s="10"/>
      <c r="E11" s="49" t="str">
        <f>HLOOKUP(E8,国語,4,FALSE)</f>
        <v>●一つの花/6月</v>
      </c>
      <c r="F11" s="50" t="str">
        <f>HLOOKUP(F8,社会,4,FALSE)</f>
        <v>●水はどこから/6月
●ごみのしょ理と利用/9月
</v>
      </c>
      <c r="G11" s="50">
        <f>HLOOKUP(G8,算数,4,FALSE)</f>
        <v>0</v>
      </c>
      <c r="H11" s="50" t="str">
        <f>HLOOKUP(H8,理科,4,FALSE)</f>
        <v>●自然の中の水/3月</v>
      </c>
      <c r="I11" s="50">
        <f>HLOOKUP(I8,音楽,4,FALSE)</f>
        <v>0</v>
      </c>
      <c r="J11" s="50" t="str">
        <f>HLOOKUP(J8,図画工作,4,FALSE)</f>
        <v>●おもしろアイデアボックス/6月
●ギコギコクリエーター/10月
●ほってすって見つけて/2月</v>
      </c>
      <c r="K11" s="1"/>
      <c r="L11" s="45" t="str">
        <f>HLOOKUP(L8,保健,4,FALSE)</f>
        <v>●育ちゆく体とわたし/2月
</v>
      </c>
      <c r="M11" s="39"/>
      <c r="N11" s="40"/>
    </row>
    <row r="12" spans="1:14" s="26" customFormat="1" ht="186.75" customHeight="1">
      <c r="A12" s="13" t="s">
        <v>270</v>
      </c>
      <c r="B12" s="27" t="s">
        <v>291</v>
      </c>
      <c r="C12" s="14"/>
      <c r="D12" s="15" t="s">
        <v>26</v>
      </c>
      <c r="E12" s="49" t="str">
        <f>HLOOKUP(E8,国語,5,FALSE)</f>
        <v>●文と文をつなぐ言葉/12月
●のはらのうた/1月
●野原に集まれ/1月
●わたしの研究レポート/2月
●十年後のわたしへ/3月</v>
      </c>
      <c r="F12" s="50">
        <f>HLOOKUP(F8,社会,5,FALSE)</f>
        <v>0</v>
      </c>
      <c r="G12" s="50" t="str">
        <f>HLOOKUP(G8,算数,5,FALSE)</f>
        <v>●垂直・平行と四角形/5月
●面積のはかり方と表し方/11月</v>
      </c>
      <c r="H12" s="50" t="str">
        <f>HLOOKUP(H8,理科,5,FALSE)</f>
        <v>●わたしたちの体と運動/9月</v>
      </c>
      <c r="I12" s="50" t="str">
        <f>HLOOKUP(I8,音楽,5,FALSE)</f>
        <v>●いろいろな音のひびきを感じ取ろう/11月</v>
      </c>
      <c r="J12" s="50" t="str">
        <f>HLOOKUP(J8,図画工作,5,FALSE)</f>
        <v>●見つけたよ ためしたよ/形や色を楽しもう/4月
●絵の具でゆめもよう/4月
●立ち上がれ！ねん土/5月
●まぼろしの花/5月
●おもしろアイデアボックス/6月
●わすれられないあの時/9月
●トロトロ，カチコチ・ワールド/10月
●光のさしこむ絵/11月
●森のげいじゅつ家/1月
●ゴー！ゴー！ドリームカー/2月</v>
      </c>
      <c r="K12" s="1"/>
      <c r="L12" s="45">
        <f>HLOOKUP(L8,保健,5,FALSE)</f>
        <v>0</v>
      </c>
      <c r="M12" s="39"/>
      <c r="N12" s="40"/>
    </row>
    <row r="13" spans="1:14" s="26" customFormat="1" ht="114" customHeight="1">
      <c r="A13" s="13" t="s">
        <v>271</v>
      </c>
      <c r="B13" s="27" t="s">
        <v>292</v>
      </c>
      <c r="C13" s="14" t="s">
        <v>21</v>
      </c>
      <c r="D13" s="15" t="s">
        <v>27</v>
      </c>
      <c r="E13" s="49" t="str">
        <f>HLOOKUP(E8,国語,6,FALSE)</f>
        <v>●動いて，考えて，また動く/5月
●新聞を作ろう/5月
●自分の考えをつたえるには/7月
●だれもが関わり合えるように/9月
●&lt;資料&gt;手と心で読む/9月
●「クラブ活動リーフレット」を作ろう/11月
●ウナギのなぞを追って/1月
●十年後のわたしへ/3月</v>
      </c>
      <c r="F13" s="50">
        <f>HLOOKUP(F8,社会,6,FALSE)</f>
        <v>0</v>
      </c>
      <c r="G13" s="50" t="str">
        <f>HLOOKUP(G8,算数,6,FALSE)</f>
        <v>●変わり方調べ/12月</v>
      </c>
      <c r="H13" s="50" t="str">
        <f>HLOOKUP(H8,理科,6,FALSE)</f>
        <v>●とじこめた空気や水/6月
●ものの温度と体積/11月
●もののあたたまり方/12月</v>
      </c>
      <c r="I13" s="50" t="str">
        <f>HLOOKUP(I8,音楽,6,FALSE)</f>
        <v>●拍の流れにのってリズムを感じ取ろう/6月
●せんりつのとくちょうを感じ取ろう/9月</v>
      </c>
      <c r="J13" s="50" t="str">
        <f>HLOOKUP(J8,図画工作,6,FALSE)</f>
        <v>●ギコギコクリエーター/10月
●ゴー！ゴー！ドリームカー/2月
●ほってすって見つけて/2月</v>
      </c>
      <c r="K13" s="1"/>
      <c r="L13" s="45">
        <f>HLOOKUP(L8,保健,6,FALSE)</f>
        <v>0</v>
      </c>
      <c r="M13" s="39"/>
      <c r="N13" s="40"/>
    </row>
    <row r="14" spans="1:14" s="26" customFormat="1" ht="111" customHeight="1">
      <c r="A14" s="13" t="s">
        <v>272</v>
      </c>
      <c r="B14" s="27" t="s">
        <v>293</v>
      </c>
      <c r="C14" s="14"/>
      <c r="D14" s="15"/>
      <c r="E14" s="49" t="str">
        <f>HLOOKUP(E8,国語,7,FALSE)</f>
        <v>●白いぼうし/4月
●自分の考えをつたえるには/7月
●だれもが関わり合えるように/9月
●&lt;資料&gt;手と心で読む/9月
●ごんぎつね/10月
●「クラブ活動リーフレット」を作ろう/11月
●プラタナスの木/12月</v>
      </c>
      <c r="F14" s="50">
        <f>HLOOKUP(F8,社会,7,FALSE)</f>
        <v>0</v>
      </c>
      <c r="G14" s="50">
        <f>HLOOKUP(G8,算数,7,FALSE)</f>
        <v>0</v>
      </c>
      <c r="H14" s="50">
        <f>HLOOKUP(H8,理科,7,FALSE)</f>
        <v>0</v>
      </c>
      <c r="I14" s="50" t="str">
        <f>HLOOKUP(I8,音楽,7,FALSE)</f>
        <v>●拍の流れにのってリズムを感じ取ろう/6月
●せんりつの重なりを感じ取ろう/10月
●いろいろな音のひびきを感じ取ろう/11月</v>
      </c>
      <c r="J14" s="50">
        <f>HLOOKUP(J8,図画工作,7,FALSE)</f>
        <v>0</v>
      </c>
      <c r="K14" s="1"/>
      <c r="L14" s="45">
        <f>HLOOKUP(L8,保健,7,FALSE)</f>
        <v>0</v>
      </c>
      <c r="M14" s="39"/>
      <c r="N14" s="40"/>
    </row>
    <row r="15" spans="1:14" s="26" customFormat="1" ht="41.25" customHeight="1">
      <c r="A15" s="13" t="s">
        <v>273</v>
      </c>
      <c r="B15" s="27" t="s">
        <v>294</v>
      </c>
      <c r="C15" s="14"/>
      <c r="D15" s="15"/>
      <c r="E15" s="49">
        <f>HLOOKUP(E8,国語,8,FALSE)</f>
        <v>0</v>
      </c>
      <c r="F15" s="50" t="str">
        <f>HLOOKUP(F8,社会,8,FALSE)</f>
        <v>●ごみのしょ理と利用/9月</v>
      </c>
      <c r="G15" s="50">
        <f>HLOOKUP(G8,算数,8,FALSE)</f>
        <v>0</v>
      </c>
      <c r="H15" s="50">
        <f>HLOOKUP(H8,理科,8,FALSE)</f>
        <v>0</v>
      </c>
      <c r="I15" s="50">
        <f>HLOOKUP(H8,理科,8,FALSE)</f>
        <v>0</v>
      </c>
      <c r="J15" s="50" t="str">
        <f>HLOOKUP(J8,図画工作,8,FALSE)</f>
        <v>●幸せを運ぶカード/12月</v>
      </c>
      <c r="K15" s="1"/>
      <c r="L15" s="45">
        <f>HLOOKUP(L8,保健,8,FALSE)</f>
        <v>0</v>
      </c>
      <c r="M15" s="39"/>
      <c r="N15" s="40"/>
    </row>
    <row r="16" spans="1:14" s="26" customFormat="1" ht="36" customHeight="1">
      <c r="A16" s="13" t="s">
        <v>274</v>
      </c>
      <c r="B16" s="27" t="s">
        <v>295</v>
      </c>
      <c r="C16" s="14"/>
      <c r="D16" s="15"/>
      <c r="E16" s="49" t="str">
        <f>HLOOKUP(E8,国語,9,FALSE)</f>
        <v>●話す言葉は同じでも/4月</v>
      </c>
      <c r="F16" s="50">
        <f>HLOOKUP(F8,社会,9,FALSE)</f>
        <v>0</v>
      </c>
      <c r="G16" s="50">
        <f>HLOOKUP(G8,算数,9,FALSE)</f>
        <v>0</v>
      </c>
      <c r="H16" s="50">
        <f>HLOOKUP(H8,理科,9,FALSE)</f>
        <v>0</v>
      </c>
      <c r="I16" s="50" t="str">
        <f>HLOOKUP(I8,音楽,9,FALSE)</f>
        <v>●せんりつの重なりを感じ取ろう/10月</v>
      </c>
      <c r="J16" s="50">
        <f>HLOOKUP(J8,図画工作,9,FALSE)</f>
        <v>0</v>
      </c>
      <c r="K16" s="1"/>
      <c r="L16" s="45">
        <f>HLOOKUP(L8,保健,9,FALSE)</f>
        <v>0</v>
      </c>
      <c r="M16" s="39"/>
      <c r="N16" s="40"/>
    </row>
    <row r="17" spans="1:14" s="26" customFormat="1" ht="208.5" customHeight="1">
      <c r="A17" s="13" t="s">
        <v>275</v>
      </c>
      <c r="B17" s="27" t="s">
        <v>296</v>
      </c>
      <c r="C17" s="14" t="s">
        <v>20</v>
      </c>
      <c r="D17" s="15"/>
      <c r="E17" s="49" t="str">
        <f>HLOOKUP(E8,国語,10,FALSE)</f>
        <v>●プラタナスの木/12月
●聞き取りメモの工夫/2月</v>
      </c>
      <c r="F17" s="50">
        <f>HLOOKUP(F8,社会,10,FALSE)</f>
        <v>0</v>
      </c>
      <c r="G17" s="50">
        <f>HLOOKUP(G8,算数,10,FALSE)</f>
        <v>0</v>
      </c>
      <c r="H17" s="50" t="str">
        <f>HLOOKUP(H8,理科,10,FALSE)</f>
        <v>●とじこめた空気や水/6月</v>
      </c>
      <c r="I17" s="50">
        <f>HLOOKUP(I8,音楽,10,FALSE)</f>
        <v>0</v>
      </c>
      <c r="J17" s="50" t="str">
        <f>HLOOKUP(J8,図画工作,10,FALSE)</f>
        <v>●光とかげから生まれる形/5月
●つつんだアート/6月
●ゆめのまちへようこそ/7月
●すみですみか/11月
●幸せを運ぶカード/12月</v>
      </c>
      <c r="K17" s="1" t="s">
        <v>30</v>
      </c>
      <c r="L17" s="45">
        <f>HLOOKUP(L8,保健,10,FALSE)</f>
        <v>0</v>
      </c>
      <c r="M17" s="39"/>
      <c r="N17" s="40"/>
    </row>
    <row r="18" spans="1:14" s="26" customFormat="1" ht="177" customHeight="1">
      <c r="A18" s="13" t="s">
        <v>276</v>
      </c>
      <c r="B18" s="27" t="s">
        <v>297</v>
      </c>
      <c r="C18" s="14"/>
      <c r="D18" s="15"/>
      <c r="E18" s="49" t="str">
        <f>HLOOKUP(E8,国語,11,FALSE)</f>
        <v>●ごんぎつね/10月</v>
      </c>
      <c r="F18" s="50">
        <f>HLOOKUP(F8,社会,11,FALSE)</f>
        <v>0</v>
      </c>
      <c r="G18" s="50">
        <f>HLOOKUP(G8,算数,11,FALSE)</f>
        <v>0</v>
      </c>
      <c r="H18" s="50" t="str">
        <f>HLOOKUP(H8,理科,11,FALSE)</f>
        <v>●もののあたたまり方/12月</v>
      </c>
      <c r="I18" s="50" t="str">
        <f>HLOOKUP(I8,音楽,11,FALSE)</f>
        <v>●せんりつの重なりを感じ取ろう/10月
●いろいろな音のひびきを感じ取ろう/11月</v>
      </c>
      <c r="J18" s="50" t="str">
        <f>HLOOKUP(J8,図画工作,11,FALSE)</f>
        <v>●光とかげから生まれる形/5月
●まぼろしの花/5月
●つつんだアート/6月
●ゆめのまちへようこそ/7月
●すみですみか/11月
●からだでかんしょう/3月</v>
      </c>
      <c r="K18" s="1" t="s">
        <v>218</v>
      </c>
      <c r="L18" s="45">
        <f>HLOOKUP(L8,保健,11,FALSE)</f>
        <v>0</v>
      </c>
      <c r="M18" s="39"/>
      <c r="N18" s="40"/>
    </row>
    <row r="19" spans="1:14" s="26" customFormat="1" ht="189.75" customHeight="1">
      <c r="A19" s="13" t="s">
        <v>277</v>
      </c>
      <c r="B19" s="27" t="s">
        <v>298</v>
      </c>
      <c r="C19" s="14"/>
      <c r="D19" s="15"/>
      <c r="E19" s="49" t="str">
        <f>HLOOKUP(E8,国語,12,FALSE)</f>
        <v>●漢字の組み立て/4月
●漢字辞典の使い方/4月
●いろいろな意味をもつ言葉/6月
●「読むこと」について考えよう/7月
●熟語の意味/2月
●わたしの研究レポート/2月</v>
      </c>
      <c r="F19" s="50" t="str">
        <f>HLOOKUP(F8,社会,12,FALSE)</f>
        <v>●事故や事件からくらしを守る/5月
●ごみのしょ理と利用/9月</v>
      </c>
      <c r="G19" s="50" t="str">
        <f>HLOOKUP(G8,算数,12,FALSE)</f>
        <v>●折れ線グラフと表/4月
●角の大きさ/4月
●わり算の筆算(1)－わる数が１けた/5月
●垂直・平行と四角形/5月
●大きい数のしくみ/9月
●わり算の筆算(2) －わる数が２けた/9月
●がい数の表し方/10月
●計算のきまり/10月
●面積のはかり方と表し方/11月
●小数のしくみ/11月
●小数のかけ算とわり算/1月
●分数/2月
●直方体と立方体/2月</v>
      </c>
      <c r="H19" s="50" t="str">
        <f>HLOOKUP(H8,理科,12,FALSE)</f>
        <v>●電池のはたらき/5月
●わたしたちの理科室/11月
●ものの温度と体積/11月
●もののあたたまり方/12月
●すがたをかえる水/2月</v>
      </c>
      <c r="I19" s="50">
        <f>HLOOKUP(I8,音楽,12,FALSE)</f>
        <v>0</v>
      </c>
      <c r="J19" s="50" t="str">
        <f>HLOOKUP(J8,図画工作,12,FALSE)</f>
        <v>●ギコギコクリエーター/10月
●ほってすって見つけて/2月</v>
      </c>
      <c r="K19" s="1" t="s">
        <v>28</v>
      </c>
      <c r="L19" s="45">
        <f>HLOOKUP(L8,保健,12,FALSE)</f>
        <v>0</v>
      </c>
      <c r="M19" s="39"/>
      <c r="N19" s="40"/>
    </row>
    <row r="20" spans="1:14" s="26" customFormat="1" ht="56.25" customHeight="1">
      <c r="A20" s="13" t="s">
        <v>278</v>
      </c>
      <c r="B20" s="27" t="s">
        <v>299</v>
      </c>
      <c r="C20" s="14"/>
      <c r="D20" s="15"/>
      <c r="E20" s="49" t="str">
        <f>HLOOKUP(E8,国語,13,FALSE)</f>
        <v>●ごんぎつね/10月</v>
      </c>
      <c r="F20" s="50" t="str">
        <f>HLOOKUP(F8,社会,13,FALSE)</f>
        <v>●事故や事件からくらしを守る/5月</v>
      </c>
      <c r="G20" s="50">
        <f>HLOOKUP(G8,算数,13,FALSE)</f>
        <v>0</v>
      </c>
      <c r="H20" s="50">
        <f>HLOOKUP(H8,理科,13,FALSE)</f>
        <v>0</v>
      </c>
      <c r="I20" s="50">
        <f>HLOOKUP(I8,音楽,13,FALSE)</f>
        <v>0</v>
      </c>
      <c r="J20" s="50">
        <f>HLOOKUP(J8,図画工作,13,FALSE)</f>
        <v>0</v>
      </c>
      <c r="K20" s="1" t="s">
        <v>218</v>
      </c>
      <c r="L20" s="45" t="str">
        <f>HLOOKUP(L8,保健,13,FALSE)</f>
        <v>●育ちゆく体とわたし/2月
</v>
      </c>
      <c r="M20" s="39"/>
      <c r="N20" s="40"/>
    </row>
    <row r="21" spans="1:14" s="26" customFormat="1" ht="66.75" customHeight="1">
      <c r="A21" s="13" t="s">
        <v>279</v>
      </c>
      <c r="B21" s="27" t="s">
        <v>300</v>
      </c>
      <c r="C21" s="14" t="s">
        <v>19</v>
      </c>
      <c r="D21" s="15" t="s">
        <v>24</v>
      </c>
      <c r="E21" s="49" t="str">
        <f>HLOOKUP(E8,国語,14,FALSE)</f>
        <v>●新聞を作ろう/5月
●&lt;資料&gt;手と心で読む/9月</v>
      </c>
      <c r="F21" s="50" t="str">
        <f>HLOOKUP(F8,社会,14,FALSE)</f>
        <v>●火事からくらしを守る/4月
●事故や事件からくらしを守る/5月</v>
      </c>
      <c r="G21" s="50">
        <f>HLOOKUP(G8,算数,14,FALSE)</f>
        <v>0</v>
      </c>
      <c r="H21" s="50">
        <f>HLOOKUP(H8,理科,14,FALSE)</f>
        <v>0</v>
      </c>
      <c r="I21" s="50">
        <f>HLOOKUP(I8,音楽,14,FALSE)</f>
        <v>0</v>
      </c>
      <c r="J21" s="50">
        <f>HLOOKUP(J8,図画工作,14,FALSE)</f>
        <v>0</v>
      </c>
      <c r="K21" s="1"/>
      <c r="L21" s="45">
        <f>HLOOKUP(L8,保健,14,FALSE)</f>
        <v>0</v>
      </c>
      <c r="M21" s="39"/>
      <c r="N21" s="40"/>
    </row>
    <row r="22" spans="1:14" s="26" customFormat="1" ht="44.25" customHeight="1">
      <c r="A22" s="13" t="s">
        <v>280</v>
      </c>
      <c r="B22" s="27" t="s">
        <v>301</v>
      </c>
      <c r="C22" s="14"/>
      <c r="D22" s="15"/>
      <c r="E22" s="49" t="str">
        <f>HLOOKUP(E8,国語,15,FALSE)</f>
        <v>●一つの花/6月
●ごんぎつね/10月</v>
      </c>
      <c r="F22" s="50">
        <f>HLOOKUP(F8,社会,15,FALSE)</f>
        <v>0</v>
      </c>
      <c r="G22" s="50">
        <f>HLOOKUP(G8,算数,15,FALSE)</f>
        <v>0</v>
      </c>
      <c r="H22" s="50">
        <f>HLOOKUP(H8,理科,15,FALSE)</f>
        <v>0</v>
      </c>
      <c r="I22" s="50">
        <f>HLOOKUP(I8,音楽,15,FALSE)</f>
        <v>0</v>
      </c>
      <c r="J22" s="50" t="str">
        <f>HLOOKUP(J8,図画工作,15,FALSE)</f>
        <v>●幸せを運ぶカード/12月</v>
      </c>
      <c r="K22" s="1"/>
      <c r="L22" s="45">
        <f>HLOOKUP(L8,保健,15,FALSE)</f>
        <v>0</v>
      </c>
      <c r="M22" s="39"/>
      <c r="N22" s="40"/>
    </row>
    <row r="23" spans="1:14" s="26" customFormat="1" ht="58.5" customHeight="1">
      <c r="A23" s="13" t="s">
        <v>281</v>
      </c>
      <c r="B23" s="27" t="s">
        <v>302</v>
      </c>
      <c r="C23" s="14" t="s">
        <v>22</v>
      </c>
      <c r="D23" s="15" t="s">
        <v>25</v>
      </c>
      <c r="E23" s="49" t="str">
        <f>HLOOKUP(E8,国語,16,FALSE)</f>
        <v>●よりよい話し合いをしよう/4月</v>
      </c>
      <c r="F23" s="51">
        <f>HLOOKUP(F8,社会,16,FALSE)</f>
        <v>0</v>
      </c>
      <c r="G23" s="50">
        <f>HLOOKUP(G8,算数,16,FALSE)</f>
        <v>0</v>
      </c>
      <c r="H23" s="50">
        <f>HLOOKUP(H8,理科,16,FALSE)</f>
        <v>0</v>
      </c>
      <c r="I23" s="50">
        <f>HLOOKUP(I8,音楽,16,FALSE)</f>
        <v>0</v>
      </c>
      <c r="J23" s="50" t="str">
        <f>HLOOKUP(J8,図画工作,16,FALSE)</f>
        <v>●ゆめのまちへようこそ/7月
●すみですみか/11月</v>
      </c>
      <c r="K23" s="1"/>
      <c r="L23" s="45">
        <f>HLOOKUP(L8,保健,16,FALSE)</f>
        <v>0</v>
      </c>
      <c r="M23" s="39"/>
      <c r="N23" s="40"/>
    </row>
    <row r="24" spans="1:14" s="26" customFormat="1" ht="96.75" customHeight="1">
      <c r="A24" s="13" t="s">
        <v>282</v>
      </c>
      <c r="B24" s="27" t="s">
        <v>303</v>
      </c>
      <c r="C24" s="14"/>
      <c r="D24" s="15"/>
      <c r="E24" s="49" t="str">
        <f>HLOOKUP(E8,国語,17,FALSE)</f>
        <v>●きせつの言葉１　春の風景/4月
●ごんぎつね/10月
●慣用句/11月</v>
      </c>
      <c r="F24" s="50" t="str">
        <f>HLOOKUP(F8,社会,17,FALSE)</f>
        <v>●火事からくらしを守る/4月
●水はどこから/6月
●山ろくに広がる用水/10月
●県の広がり/12月
●特色ある地いきと人々のくらし/1月
●世界とつながるわたしたちの県/3月</v>
      </c>
      <c r="G24" s="50" t="str">
        <f>HLOOKUP(G8,算数,17,FALSE)</f>
        <v>●そろばん/7月</v>
      </c>
      <c r="H24" s="50">
        <f>HLOOKUP(H8,理科,17,FALSE)</f>
        <v>0</v>
      </c>
      <c r="I24" s="50" t="str">
        <f>HLOOKUP(I8,音楽,17,FALSE)</f>
        <v>●日本の音楽に親しもう/1月</v>
      </c>
      <c r="J24" s="50">
        <f>HLOOKUP(J8,図画工作,17,FALSE)</f>
        <v>0</v>
      </c>
      <c r="K24" s="1"/>
      <c r="L24" s="45">
        <f>HLOOKUP(L8,保健,17,FALSE)</f>
        <v>0</v>
      </c>
      <c r="M24" s="39"/>
      <c r="N24" s="40"/>
    </row>
    <row r="25" spans="1:14" s="26" customFormat="1" ht="74.25" customHeight="1">
      <c r="A25" s="76" t="s">
        <v>283</v>
      </c>
      <c r="B25" s="66" t="s">
        <v>304</v>
      </c>
      <c r="C25" s="67"/>
      <c r="D25" s="68"/>
      <c r="E25" s="49">
        <f>HLOOKUP(E8,国語,18,FALSE)</f>
        <v>0</v>
      </c>
      <c r="F25" s="50" t="str">
        <f>HLOOKUP(F8,社会,18,FALSE)</f>
        <v>●世界とつながるわたしたちの県/3月</v>
      </c>
      <c r="G25" s="50">
        <f>HLOOKUP(G8,算数,18,FALSE)</f>
        <v>0</v>
      </c>
      <c r="H25" s="50">
        <f>HLOOKUP(H8,理科,18,FALSE)</f>
        <v>0</v>
      </c>
      <c r="I25" s="50">
        <f>HLOOKUP(I8,音楽,18,FALSE)</f>
        <v>0</v>
      </c>
      <c r="J25" s="50">
        <f>HLOOKUP(J8,図画工作,18,FALSE)</f>
        <v>0</v>
      </c>
      <c r="K25" s="1"/>
      <c r="L25" s="45">
        <f>HLOOKUP(L8,保健,18,FALSE)</f>
        <v>0</v>
      </c>
      <c r="M25" s="39"/>
      <c r="N25" s="40"/>
    </row>
    <row r="26" spans="1:14" s="26" customFormat="1" ht="100.5" customHeight="1">
      <c r="A26" s="13" t="s">
        <v>284</v>
      </c>
      <c r="B26" s="27" t="s">
        <v>305</v>
      </c>
      <c r="C26" s="14"/>
      <c r="D26" s="15"/>
      <c r="E26" s="49" t="str">
        <f>HLOOKUP(E8,国語,19,FALSE)</f>
        <v>●一つの花/6月</v>
      </c>
      <c r="F26" s="50">
        <f>HLOOKUP(F8,社会,19,FALSE)</f>
        <v>0</v>
      </c>
      <c r="G26" s="50">
        <f>HLOOKUP(G8,算数,19,FALSE)</f>
        <v>0</v>
      </c>
      <c r="H26" s="50" t="str">
        <f>HLOOKUP(H8,理科,19,FALSE)</f>
        <v>●わたしたちの体と運動/9月</v>
      </c>
      <c r="I26" s="50">
        <f>HLOOKUP(I8,音楽,19,FALSE)</f>
        <v>0</v>
      </c>
      <c r="J26" s="50">
        <f>HLOOKUP(J8,図画工作,19,FALSE)</f>
        <v>0</v>
      </c>
      <c r="K26" s="1"/>
      <c r="L26" s="69" t="str">
        <f>HLOOKUP(L8,保健,19,FALSE)</f>
        <v>●育ちゆく体とわたし/2月
</v>
      </c>
      <c r="M26" s="39"/>
      <c r="N26" s="40"/>
    </row>
    <row r="27" spans="1:14" s="26" customFormat="1" ht="134.25" customHeight="1">
      <c r="A27" s="13" t="s">
        <v>285</v>
      </c>
      <c r="B27" s="27" t="s">
        <v>306</v>
      </c>
      <c r="C27" s="14"/>
      <c r="D27" s="15"/>
      <c r="E27" s="47" t="str">
        <f>HLOOKUP(E8,国語,20,FALSE)</f>
        <v>●白いぼうし/4月
●きせつの言葉１　春の風景/4月
●きせつの言葉２　夏の風景/7月
●かげ/7月
●ごんぎつね/10月
●きせつの言葉３　秋の風景/10月
●季節の言葉４　冬の風景/1月
●ウナギのなぞを追って/1月</v>
      </c>
      <c r="F27" s="48" t="str">
        <f>HLOOKUP(F8,社会,20,FALSE)</f>
        <v>●水はどこから/6月
●県の広がり/12月
●特色ある地いきと人々のくらし/1月
</v>
      </c>
      <c r="G27" s="48">
        <f>HLOOKUP(G8,算数,20,FALSE)</f>
        <v>0</v>
      </c>
      <c r="H27" s="48" t="str">
        <f>HLOOKUP(H8,理科,20,FALSE)</f>
        <v>●季節と生き物（春）/4月
●天気と気温/4月
●電池のはたらき/5月
●星の明るさや色/7月
●季節と生き物（夏）/7月
●季節と生き物（夏の終わり）/9月
●月の動き/10月
●季節と生き物（秋）/10月
●星の動き/1月
●季節と生き物（冬）/1月
●すがたをかえる水/2月
●自然の中の水/3月</v>
      </c>
      <c r="I27" s="48">
        <f>HLOOKUP(I8,音楽,20,FALSE)</f>
        <v>0</v>
      </c>
      <c r="J27" s="48" t="str">
        <f>HLOOKUP(J8,図画工作,20,FALSE)</f>
        <v>●光とかげから生まれる形/5月
●まぼろしの花/5月
●光のさしこむ絵/11月
●すみですみか/11月
●森のげいじゅつ家/1月</v>
      </c>
      <c r="K27" s="2"/>
      <c r="L27" s="69">
        <f>HLOOKUP(L8,保健,20,FALSE)</f>
        <v>0</v>
      </c>
      <c r="M27" s="39"/>
      <c r="N27" s="40"/>
    </row>
    <row r="28" spans="1:14" s="26" customFormat="1" ht="42" customHeight="1">
      <c r="A28" s="19" t="s">
        <v>286</v>
      </c>
      <c r="B28" s="28" t="s">
        <v>307</v>
      </c>
      <c r="C28" s="20"/>
      <c r="D28" s="21"/>
      <c r="E28" s="52" t="str">
        <f>HLOOKUP(E8,国語,21,FALSE)</f>
        <v>●プラタナスの木/12月
●初雪のふる日/3月</v>
      </c>
      <c r="F28" s="53">
        <f>HLOOKUP(F8,社会,21,FALSE)</f>
        <v>0</v>
      </c>
      <c r="G28" s="53">
        <f>HLOOKUP(G8,算数,21,FALSE)</f>
        <v>0</v>
      </c>
      <c r="H28" s="53" t="str">
        <f>HLOOKUP(H8,理科,21,FALSE)</f>
        <v>●星の明るさや色/7月
●月の動き/10月
●星の動き/1月</v>
      </c>
      <c r="I28" s="53" t="str">
        <f>HLOOKUP(I8,音楽,21,FALSE)</f>
        <v>●曲の気分を感じ取ろう/2月</v>
      </c>
      <c r="J28" s="53" t="str">
        <f>HLOOKUP(J8,図画工作,21,FALSE)</f>
        <v>●見つけたよ ためしたよ/形や色を楽しもう/4月
●からだでかんしょう/3月</v>
      </c>
      <c r="K28" s="4"/>
      <c r="L28" s="46">
        <f>HLOOKUP(L8,保健,21,FALSE)</f>
        <v>0</v>
      </c>
      <c r="M28" s="41"/>
      <c r="N28" s="42"/>
    </row>
    <row r="30" spans="1:2" ht="10.5" hidden="1">
      <c r="A30" s="87" t="s">
        <v>331</v>
      </c>
      <c r="B30" s="87"/>
    </row>
    <row r="31" spans="1:2" ht="10.5" hidden="1">
      <c r="A31" s="88" t="s">
        <v>310</v>
      </c>
      <c r="B31" s="89" t="s">
        <v>311</v>
      </c>
    </row>
    <row r="32" spans="1:2" ht="10.5" hidden="1">
      <c r="A32" s="90" t="s">
        <v>310</v>
      </c>
      <c r="B32" s="91" t="s">
        <v>312</v>
      </c>
    </row>
    <row r="33" spans="1:2" ht="10.5" hidden="1">
      <c r="A33" s="90" t="s">
        <v>310</v>
      </c>
      <c r="B33" s="91" t="s">
        <v>313</v>
      </c>
    </row>
    <row r="34" spans="1:2" ht="10.5" hidden="1">
      <c r="A34" s="90" t="s">
        <v>310</v>
      </c>
      <c r="B34" s="91" t="s">
        <v>314</v>
      </c>
    </row>
    <row r="35" spans="1:2" ht="10.5" hidden="1">
      <c r="A35" s="90" t="s">
        <v>310</v>
      </c>
      <c r="B35" s="91" t="s">
        <v>315</v>
      </c>
    </row>
    <row r="36" spans="1:2" ht="10.5" hidden="1">
      <c r="A36" s="90" t="s">
        <v>8</v>
      </c>
      <c r="B36" s="91" t="s">
        <v>311</v>
      </c>
    </row>
    <row r="37" spans="1:2" ht="10.5" hidden="1">
      <c r="A37" s="90" t="s">
        <v>316</v>
      </c>
      <c r="B37" s="91" t="s">
        <v>314</v>
      </c>
    </row>
    <row r="38" spans="1:2" ht="10.5" hidden="1">
      <c r="A38" s="90" t="s">
        <v>316</v>
      </c>
      <c r="B38" s="91" t="s">
        <v>315</v>
      </c>
    </row>
    <row r="39" spans="1:2" ht="10.5" hidden="1">
      <c r="A39" s="90" t="s">
        <v>316</v>
      </c>
      <c r="B39" s="91" t="s">
        <v>317</v>
      </c>
    </row>
    <row r="40" spans="1:2" ht="10.5" hidden="1">
      <c r="A40" s="90" t="s">
        <v>3</v>
      </c>
      <c r="B40" s="91" t="s">
        <v>311</v>
      </c>
    </row>
    <row r="41" spans="1:2" ht="10.5" hidden="1">
      <c r="A41" s="90" t="s">
        <v>318</v>
      </c>
      <c r="B41" s="91" t="s">
        <v>319</v>
      </c>
    </row>
    <row r="42" spans="1:2" ht="10.5" hidden="1">
      <c r="A42" s="90" t="s">
        <v>3</v>
      </c>
      <c r="B42" s="91" t="s">
        <v>312</v>
      </c>
    </row>
    <row r="43" spans="1:2" ht="10.5" hidden="1">
      <c r="A43" s="90" t="s">
        <v>3</v>
      </c>
      <c r="B43" s="91" t="s">
        <v>314</v>
      </c>
    </row>
    <row r="44" spans="1:2" ht="10.5" hidden="1">
      <c r="A44" s="90" t="s">
        <v>318</v>
      </c>
      <c r="B44" s="91" t="s">
        <v>320</v>
      </c>
    </row>
    <row r="45" spans="1:2" ht="10.5" hidden="1">
      <c r="A45" s="90" t="s">
        <v>318</v>
      </c>
      <c r="B45" s="91" t="s">
        <v>321</v>
      </c>
    </row>
    <row r="46" spans="1:2" ht="10.5" hidden="1">
      <c r="A46" s="90" t="s">
        <v>322</v>
      </c>
      <c r="B46" s="91" t="s">
        <v>311</v>
      </c>
    </row>
    <row r="47" spans="1:2" ht="10.5" hidden="1">
      <c r="A47" s="90" t="s">
        <v>9</v>
      </c>
      <c r="B47" s="91" t="s">
        <v>319</v>
      </c>
    </row>
    <row r="48" spans="1:2" ht="10.5" hidden="1">
      <c r="A48" s="90" t="s">
        <v>322</v>
      </c>
      <c r="B48" s="91" t="s">
        <v>312</v>
      </c>
    </row>
    <row r="49" spans="1:2" ht="10.5" hidden="1">
      <c r="A49" s="90" t="s">
        <v>322</v>
      </c>
      <c r="B49" s="91" t="s">
        <v>314</v>
      </c>
    </row>
    <row r="50" spans="1:2" ht="10.5" hidden="1">
      <c r="A50" s="90" t="s">
        <v>322</v>
      </c>
      <c r="B50" s="91" t="s">
        <v>320</v>
      </c>
    </row>
    <row r="51" spans="1:2" ht="10.5" hidden="1">
      <c r="A51" s="90" t="s">
        <v>323</v>
      </c>
      <c r="B51" s="91" t="s">
        <v>314</v>
      </c>
    </row>
    <row r="52" spans="1:2" ht="10.5" hidden="1">
      <c r="A52" s="90" t="s">
        <v>4</v>
      </c>
      <c r="B52" s="92" t="s">
        <v>324</v>
      </c>
    </row>
    <row r="53" spans="1:2" ht="10.5" hidden="1">
      <c r="A53" s="90" t="s">
        <v>325</v>
      </c>
      <c r="B53" s="92" t="s">
        <v>326</v>
      </c>
    </row>
    <row r="54" spans="1:2" ht="10.5" hidden="1">
      <c r="A54" s="90" t="s">
        <v>325</v>
      </c>
      <c r="B54" s="92" t="s">
        <v>327</v>
      </c>
    </row>
    <row r="55" spans="1:2" ht="10.5" hidden="1">
      <c r="A55" s="93" t="s">
        <v>328</v>
      </c>
      <c r="B55" s="94" t="s">
        <v>311</v>
      </c>
    </row>
    <row r="56" spans="1:2" ht="10.5" hidden="1">
      <c r="A56" s="93" t="s">
        <v>328</v>
      </c>
      <c r="B56" s="94" t="s">
        <v>319</v>
      </c>
    </row>
    <row r="57" spans="1:2" ht="10.5" hidden="1">
      <c r="A57" s="93" t="s">
        <v>328</v>
      </c>
      <c r="B57" s="94" t="s">
        <v>329</v>
      </c>
    </row>
    <row r="58" spans="1:2" ht="10.5" hidden="1">
      <c r="A58" s="95" t="s">
        <v>328</v>
      </c>
      <c r="B58" s="96" t="s">
        <v>330</v>
      </c>
    </row>
  </sheetData>
  <sheetProtection autoFilter="0"/>
  <mergeCells count="15">
    <mergeCell ref="M6:M8"/>
    <mergeCell ref="N6:N8"/>
    <mergeCell ref="E6:L6"/>
    <mergeCell ref="C6:D6"/>
    <mergeCell ref="A6:A8"/>
    <mergeCell ref="C7:C8"/>
    <mergeCell ref="D7:D8"/>
    <mergeCell ref="B7:B8"/>
    <mergeCell ref="K3:L3"/>
    <mergeCell ref="K2:L2"/>
    <mergeCell ref="K4:L4"/>
    <mergeCell ref="A2:A4"/>
    <mergeCell ref="B2:D2"/>
    <mergeCell ref="B3:D3"/>
    <mergeCell ref="B4:D4"/>
  </mergeCells>
  <dataValidations count="7">
    <dataValidation type="list" allowBlank="1" showInputMessage="1" showErrorMessage="1" sqref="E8">
      <formula1>$B$31:$B$35</formula1>
    </dataValidation>
    <dataValidation type="list" allowBlank="1" showInputMessage="1" showErrorMessage="1" sqref="F8">
      <formula1>$B$36:$B$39</formula1>
    </dataValidation>
    <dataValidation type="list" allowBlank="1" showInputMessage="1" showErrorMessage="1" sqref="G8">
      <formula1>$B$40:$B$45</formula1>
    </dataValidation>
    <dataValidation type="list" allowBlank="1" showInputMessage="1" showErrorMessage="1" sqref="H8">
      <formula1>$B$46:$B$50</formula1>
    </dataValidation>
    <dataValidation type="list" allowBlank="1" showInputMessage="1" showErrorMessage="1" sqref="I8">
      <formula1>$B$51:$B$52</formula1>
    </dataValidation>
    <dataValidation type="list" allowBlank="1" showInputMessage="1" showErrorMessage="1" sqref="J8">
      <formula1>$B$53:$B$54</formula1>
    </dataValidation>
    <dataValidation type="list" allowBlank="1" showInputMessage="1" showErrorMessage="1" sqref="L8">
      <formula1>$B$55:$B$58</formula1>
    </dataValidation>
  </dataValidations>
  <printOptions horizontalCentered="1"/>
  <pageMargins left="0.1968503937007874" right="0.1968503937007874" top="0.1968503937007874" bottom="0.1968503937007874" header="0.1968503937007874" footer="0.1968503937007874"/>
  <pageSetup fitToHeight="0" horizontalDpi="600" verticalDpi="600" orientation="landscape" paperSize="8" r:id="rId2"/>
  <headerFooter>
    <oddFooter>&amp;R4年　&amp;P/&amp;N</oddFooter>
  </headerFooter>
  <ignoredErrors>
    <ignoredError sqref="F26:J26 F27:J27" formula="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AD28"/>
  <sheetViews>
    <sheetView zoomScaleSheetLayoutView="100" zoomScalePageLayoutView="0" workbookViewId="0" topLeftCell="A1">
      <selection activeCell="A1" sqref="A1"/>
    </sheetView>
  </sheetViews>
  <sheetFormatPr defaultColWidth="9.00390625" defaultRowHeight="15"/>
  <cols>
    <col min="1" max="1" width="16.140625" style="75" customWidth="1"/>
    <col min="2" max="2" width="14.7109375" style="79" customWidth="1"/>
    <col min="3" max="30" width="14.7109375" style="71" customWidth="1"/>
    <col min="31" max="31" width="17.7109375" style="71" customWidth="1"/>
    <col min="32" max="16384" width="9.00390625" style="71" customWidth="1"/>
  </cols>
  <sheetData>
    <row r="1" spans="1:9" ht="14.25">
      <c r="A1" s="85" t="s">
        <v>309</v>
      </c>
      <c r="B1" s="82"/>
      <c r="C1" s="82"/>
      <c r="D1" s="82"/>
      <c r="E1" s="70"/>
      <c r="F1" s="70"/>
      <c r="G1" s="70"/>
      <c r="H1" s="70"/>
      <c r="I1" s="70"/>
    </row>
    <row r="2" spans="1:29" s="73" customFormat="1" ht="9">
      <c r="A2" s="112" t="s">
        <v>1</v>
      </c>
      <c r="B2" s="144" t="s">
        <v>0</v>
      </c>
      <c r="C2" s="144"/>
      <c r="D2" s="144"/>
      <c r="E2" s="72"/>
      <c r="F2" s="72"/>
      <c r="G2" s="72"/>
      <c r="H2" s="72"/>
      <c r="I2" s="72"/>
      <c r="J2" s="72"/>
      <c r="K2" s="72"/>
      <c r="L2" s="72"/>
      <c r="M2" s="72"/>
      <c r="N2" s="72"/>
      <c r="O2" s="72"/>
      <c r="P2" s="72"/>
      <c r="Q2" s="72"/>
      <c r="R2" s="72"/>
      <c r="S2" s="72"/>
      <c r="T2" s="72"/>
      <c r="U2" s="72"/>
      <c r="X2" s="78"/>
      <c r="Y2" s="111"/>
      <c r="Z2" s="111"/>
      <c r="AA2" s="111"/>
      <c r="AB2" s="111"/>
      <c r="AC2" s="111"/>
    </row>
    <row r="3" spans="1:29" s="73" customFormat="1" ht="9">
      <c r="A3" s="113"/>
      <c r="B3" s="145" t="s">
        <v>17</v>
      </c>
      <c r="C3" s="145"/>
      <c r="D3" s="145"/>
      <c r="E3" s="72"/>
      <c r="F3" s="74"/>
      <c r="G3" s="74"/>
      <c r="H3" s="74"/>
      <c r="I3" s="74"/>
      <c r="J3" s="74"/>
      <c r="K3" s="74"/>
      <c r="L3" s="74"/>
      <c r="M3" s="74"/>
      <c r="N3" s="74"/>
      <c r="O3" s="74"/>
      <c r="P3" s="74"/>
      <c r="Q3" s="74"/>
      <c r="R3" s="74"/>
      <c r="S3" s="74"/>
      <c r="T3" s="74"/>
      <c r="U3" s="74"/>
      <c r="X3" s="78"/>
      <c r="Y3" s="110"/>
      <c r="Z3" s="110"/>
      <c r="AA3" s="110"/>
      <c r="AB3" s="110"/>
      <c r="AC3" s="110"/>
    </row>
    <row r="4" spans="1:29" s="73" customFormat="1" ht="9">
      <c r="A4" s="114"/>
      <c r="B4" s="145" t="s">
        <v>18</v>
      </c>
      <c r="C4" s="145"/>
      <c r="D4" s="145"/>
      <c r="E4" s="72"/>
      <c r="F4" s="74"/>
      <c r="G4" s="74"/>
      <c r="H4" s="74"/>
      <c r="I4" s="74"/>
      <c r="J4" s="74"/>
      <c r="K4" s="74"/>
      <c r="L4" s="74"/>
      <c r="M4" s="74"/>
      <c r="N4" s="74"/>
      <c r="O4" s="74"/>
      <c r="P4" s="74"/>
      <c r="Q4" s="74"/>
      <c r="R4" s="74"/>
      <c r="S4" s="74"/>
      <c r="T4" s="74"/>
      <c r="U4" s="74"/>
      <c r="X4" s="78"/>
      <c r="Y4" s="110"/>
      <c r="Z4" s="110"/>
      <c r="AA4" s="110"/>
      <c r="AB4" s="110"/>
      <c r="AC4" s="110"/>
    </row>
    <row r="5" spans="3:5" ht="5.25" customHeight="1">
      <c r="C5" s="80"/>
      <c r="D5" s="80"/>
      <c r="E5" s="80"/>
    </row>
    <row r="6" spans="1:30" s="25" customFormat="1" ht="19.5" customHeight="1">
      <c r="A6" s="135" t="s">
        <v>14</v>
      </c>
      <c r="B6" s="150" t="s">
        <v>167</v>
      </c>
      <c r="C6" s="151"/>
      <c r="D6" s="151"/>
      <c r="E6" s="151"/>
      <c r="F6" s="151"/>
      <c r="G6" s="151"/>
      <c r="H6" s="151"/>
      <c r="I6" s="151"/>
      <c r="J6" s="151"/>
      <c r="K6" s="151"/>
      <c r="L6" s="151"/>
      <c r="M6" s="151"/>
      <c r="N6" s="151"/>
      <c r="O6" s="151"/>
      <c r="P6" s="151"/>
      <c r="Q6" s="151" t="s">
        <v>168</v>
      </c>
      <c r="R6" s="151"/>
      <c r="S6" s="151"/>
      <c r="T6" s="151"/>
      <c r="U6" s="151"/>
      <c r="V6" s="151"/>
      <c r="W6" s="151"/>
      <c r="X6" s="151"/>
      <c r="Y6" s="151"/>
      <c r="Z6" s="151"/>
      <c r="AA6" s="151"/>
      <c r="AB6" s="151"/>
      <c r="AC6" s="151"/>
      <c r="AD6" s="152"/>
    </row>
    <row r="7" spans="1:30" s="25" customFormat="1" ht="19.5" customHeight="1">
      <c r="A7" s="136"/>
      <c r="B7" s="153" t="s">
        <v>2</v>
      </c>
      <c r="C7" s="148"/>
      <c r="D7" s="148"/>
      <c r="E7" s="148"/>
      <c r="F7" s="147"/>
      <c r="G7" s="146" t="s">
        <v>8</v>
      </c>
      <c r="H7" s="148"/>
      <c r="I7" s="148"/>
      <c r="J7" s="147"/>
      <c r="K7" s="146" t="s">
        <v>3</v>
      </c>
      <c r="L7" s="148"/>
      <c r="M7" s="148"/>
      <c r="N7" s="148"/>
      <c r="O7" s="148"/>
      <c r="P7" s="147"/>
      <c r="Q7" s="146" t="s">
        <v>9</v>
      </c>
      <c r="R7" s="148"/>
      <c r="S7" s="148"/>
      <c r="T7" s="148"/>
      <c r="U7" s="147"/>
      <c r="V7" s="146" t="s">
        <v>4</v>
      </c>
      <c r="W7" s="147"/>
      <c r="X7" s="146" t="s">
        <v>12</v>
      </c>
      <c r="Y7" s="147"/>
      <c r="Z7" s="3" t="s">
        <v>7</v>
      </c>
      <c r="AA7" s="146" t="s">
        <v>11</v>
      </c>
      <c r="AB7" s="148"/>
      <c r="AC7" s="148"/>
      <c r="AD7" s="149"/>
    </row>
    <row r="8" spans="1:30" s="25" customFormat="1" ht="19.5" customHeight="1">
      <c r="A8" s="137"/>
      <c r="B8" s="29" t="s">
        <v>39</v>
      </c>
      <c r="C8" s="29" t="s">
        <v>40</v>
      </c>
      <c r="D8" s="29" t="s">
        <v>41</v>
      </c>
      <c r="E8" s="29" t="s">
        <v>43</v>
      </c>
      <c r="F8" s="29" t="s">
        <v>44</v>
      </c>
      <c r="G8" s="7" t="s">
        <v>15</v>
      </c>
      <c r="H8" s="7" t="s">
        <v>42</v>
      </c>
      <c r="I8" s="7" t="s">
        <v>44</v>
      </c>
      <c r="J8" s="7" t="s">
        <v>287</v>
      </c>
      <c r="K8" s="7" t="s">
        <v>15</v>
      </c>
      <c r="L8" s="7" t="s">
        <v>46</v>
      </c>
      <c r="M8" s="7" t="s">
        <v>40</v>
      </c>
      <c r="N8" s="7" t="s">
        <v>43</v>
      </c>
      <c r="O8" s="7" t="s">
        <v>47</v>
      </c>
      <c r="P8" s="7" t="s">
        <v>45</v>
      </c>
      <c r="Q8" s="7" t="s">
        <v>15</v>
      </c>
      <c r="R8" s="7" t="s">
        <v>46</v>
      </c>
      <c r="S8" s="7" t="s">
        <v>40</v>
      </c>
      <c r="T8" s="7" t="s">
        <v>43</v>
      </c>
      <c r="U8" s="7" t="s">
        <v>47</v>
      </c>
      <c r="V8" s="7" t="s">
        <v>43</v>
      </c>
      <c r="W8" s="7" t="s">
        <v>34</v>
      </c>
      <c r="X8" s="7" t="s">
        <v>48</v>
      </c>
      <c r="Y8" s="7" t="s">
        <v>35</v>
      </c>
      <c r="Z8" s="7" t="s">
        <v>6</v>
      </c>
      <c r="AA8" s="7" t="s">
        <v>39</v>
      </c>
      <c r="AB8" s="7" t="s">
        <v>46</v>
      </c>
      <c r="AC8" s="7" t="s">
        <v>6</v>
      </c>
      <c r="AD8" s="86" t="s">
        <v>49</v>
      </c>
    </row>
    <row r="9" spans="1:30" s="26" customFormat="1" ht="84" customHeight="1">
      <c r="A9" s="13" t="s">
        <v>267</v>
      </c>
      <c r="B9" s="34" t="s">
        <v>50</v>
      </c>
      <c r="C9" s="16" t="s">
        <v>60</v>
      </c>
      <c r="D9" s="16"/>
      <c r="E9" s="16" t="s">
        <v>96</v>
      </c>
      <c r="F9" s="16" t="s">
        <v>102</v>
      </c>
      <c r="G9" s="5"/>
      <c r="H9" s="5"/>
      <c r="I9" s="5"/>
      <c r="J9" s="5"/>
      <c r="K9" s="5"/>
      <c r="L9" s="5"/>
      <c r="M9" s="5"/>
      <c r="N9" s="5"/>
      <c r="O9" s="5"/>
      <c r="P9" s="5"/>
      <c r="Q9" s="5"/>
      <c r="R9" s="5"/>
      <c r="S9" s="5"/>
      <c r="T9" s="5"/>
      <c r="U9" s="5"/>
      <c r="V9" s="5"/>
      <c r="W9" s="5"/>
      <c r="X9" s="5"/>
      <c r="Y9" s="5" t="s">
        <v>231</v>
      </c>
      <c r="Z9" s="1"/>
      <c r="AA9" s="32"/>
      <c r="AB9" s="32"/>
      <c r="AC9" s="18"/>
      <c r="AD9" s="57"/>
    </row>
    <row r="10" spans="1:30" s="26" customFormat="1" ht="72.75" customHeight="1">
      <c r="A10" s="13" t="s">
        <v>268</v>
      </c>
      <c r="B10" s="34" t="s">
        <v>56</v>
      </c>
      <c r="C10" s="16" t="s">
        <v>62</v>
      </c>
      <c r="D10" s="16" t="s">
        <v>78</v>
      </c>
      <c r="E10" s="16" t="s">
        <v>155</v>
      </c>
      <c r="F10" s="16" t="s">
        <v>100</v>
      </c>
      <c r="G10" s="5"/>
      <c r="H10" s="5"/>
      <c r="I10" s="5"/>
      <c r="J10" s="5"/>
      <c r="K10" s="5"/>
      <c r="L10" s="5"/>
      <c r="M10" s="5"/>
      <c r="N10" s="5"/>
      <c r="O10" s="5"/>
      <c r="P10" s="5"/>
      <c r="Q10" s="5"/>
      <c r="R10" s="5"/>
      <c r="S10" s="5"/>
      <c r="T10" s="5"/>
      <c r="U10" s="5"/>
      <c r="V10" s="5"/>
      <c r="W10" s="5" t="s">
        <v>174</v>
      </c>
      <c r="X10" s="5" t="s">
        <v>224</v>
      </c>
      <c r="Y10" s="5"/>
      <c r="Z10" s="1"/>
      <c r="AA10" s="32"/>
      <c r="AB10" s="32"/>
      <c r="AC10" s="18"/>
      <c r="AD10" s="57"/>
    </row>
    <row r="11" spans="1:30" s="26" customFormat="1" ht="63.75" customHeight="1">
      <c r="A11" s="8" t="s">
        <v>269</v>
      </c>
      <c r="B11" s="43"/>
      <c r="C11" s="30" t="s">
        <v>69</v>
      </c>
      <c r="D11" s="30" t="s">
        <v>77</v>
      </c>
      <c r="E11" s="30" t="s">
        <v>90</v>
      </c>
      <c r="F11" s="30" t="s">
        <v>99</v>
      </c>
      <c r="G11" s="11" t="s">
        <v>32</v>
      </c>
      <c r="H11" s="11" t="s">
        <v>163</v>
      </c>
      <c r="I11" s="11" t="s">
        <v>107</v>
      </c>
      <c r="J11" s="11" t="s">
        <v>110</v>
      </c>
      <c r="K11" s="11"/>
      <c r="L11" s="11"/>
      <c r="M11" s="11"/>
      <c r="N11" s="11"/>
      <c r="O11" s="11"/>
      <c r="P11" s="11"/>
      <c r="Q11" s="11"/>
      <c r="R11" s="11" t="s">
        <v>137</v>
      </c>
      <c r="S11" s="11"/>
      <c r="T11" s="11"/>
      <c r="U11" s="11"/>
      <c r="V11" s="11"/>
      <c r="W11" s="11"/>
      <c r="X11" s="11" t="s">
        <v>225</v>
      </c>
      <c r="Y11" s="11" t="s">
        <v>238</v>
      </c>
      <c r="Z11" s="2"/>
      <c r="AA11" s="31" t="s">
        <v>265</v>
      </c>
      <c r="AB11" s="31" t="s">
        <v>153</v>
      </c>
      <c r="AC11" s="12" t="s">
        <v>29</v>
      </c>
      <c r="AD11" s="58" t="s">
        <v>154</v>
      </c>
    </row>
    <row r="12" spans="1:30" s="26" customFormat="1" ht="193.5" customHeight="1">
      <c r="A12" s="13" t="s">
        <v>270</v>
      </c>
      <c r="B12" s="34" t="s">
        <v>58</v>
      </c>
      <c r="C12" s="16" t="s">
        <v>72</v>
      </c>
      <c r="D12" s="16" t="s">
        <v>86</v>
      </c>
      <c r="E12" s="16" t="s">
        <v>97</v>
      </c>
      <c r="F12" s="16" t="s">
        <v>105</v>
      </c>
      <c r="G12" s="5"/>
      <c r="H12" s="5"/>
      <c r="I12" s="5"/>
      <c r="J12" s="5"/>
      <c r="K12" s="5" t="s">
        <v>114</v>
      </c>
      <c r="L12" s="5" t="s">
        <v>117</v>
      </c>
      <c r="M12" s="5" t="s">
        <v>120</v>
      </c>
      <c r="N12" s="5" t="s">
        <v>125</v>
      </c>
      <c r="O12" s="5" t="s">
        <v>127</v>
      </c>
      <c r="P12" s="5" t="s">
        <v>129</v>
      </c>
      <c r="Q12" s="5"/>
      <c r="R12" s="5" t="s">
        <v>134</v>
      </c>
      <c r="S12" s="5" t="s">
        <v>139</v>
      </c>
      <c r="T12" s="5" t="s">
        <v>142</v>
      </c>
      <c r="U12" s="5" t="s">
        <v>143</v>
      </c>
      <c r="V12" s="5" t="s">
        <v>148</v>
      </c>
      <c r="W12" s="5" t="s">
        <v>172</v>
      </c>
      <c r="X12" s="5" t="s">
        <v>226</v>
      </c>
      <c r="Y12" s="5" t="s">
        <v>237</v>
      </c>
      <c r="Z12" s="1"/>
      <c r="AA12" s="32"/>
      <c r="AB12" s="32"/>
      <c r="AC12" s="18"/>
      <c r="AD12" s="57"/>
    </row>
    <row r="13" spans="1:30" s="26" customFormat="1" ht="108" customHeight="1">
      <c r="A13" s="13" t="s">
        <v>271</v>
      </c>
      <c r="B13" s="34" t="s">
        <v>54</v>
      </c>
      <c r="C13" s="16" t="s">
        <v>71</v>
      </c>
      <c r="D13" s="16" t="s">
        <v>84</v>
      </c>
      <c r="E13" s="16" t="s">
        <v>94</v>
      </c>
      <c r="F13" s="16" t="s">
        <v>104</v>
      </c>
      <c r="G13" s="5"/>
      <c r="H13" s="5"/>
      <c r="I13" s="5" t="s">
        <v>108</v>
      </c>
      <c r="J13" s="5"/>
      <c r="K13" s="5" t="s">
        <v>115</v>
      </c>
      <c r="L13" s="5" t="s">
        <v>118</v>
      </c>
      <c r="M13" s="5" t="s">
        <v>121</v>
      </c>
      <c r="N13" s="5" t="s">
        <v>123</v>
      </c>
      <c r="O13" s="5" t="s">
        <v>126</v>
      </c>
      <c r="P13" s="5" t="s">
        <v>130</v>
      </c>
      <c r="Q13" s="5" t="s">
        <v>132</v>
      </c>
      <c r="R13" s="5" t="s">
        <v>136</v>
      </c>
      <c r="S13" s="5" t="s">
        <v>138</v>
      </c>
      <c r="T13" s="5" t="s">
        <v>141</v>
      </c>
      <c r="U13" s="5" t="s">
        <v>144</v>
      </c>
      <c r="V13" s="5" t="s">
        <v>147</v>
      </c>
      <c r="W13" s="5" t="s">
        <v>170</v>
      </c>
      <c r="X13" s="5" t="s">
        <v>227</v>
      </c>
      <c r="Y13" s="5" t="s">
        <v>239</v>
      </c>
      <c r="Z13" s="1"/>
      <c r="AA13" s="32"/>
      <c r="AB13" s="32"/>
      <c r="AC13" s="18"/>
      <c r="AD13" s="57"/>
    </row>
    <row r="14" spans="1:30" s="26" customFormat="1" ht="98.25" customHeight="1">
      <c r="A14" s="13" t="s">
        <v>272</v>
      </c>
      <c r="B14" s="34" t="s">
        <v>55</v>
      </c>
      <c r="C14" s="16" t="s">
        <v>65</v>
      </c>
      <c r="D14" s="16" t="s">
        <v>79</v>
      </c>
      <c r="E14" s="16" t="s">
        <v>95</v>
      </c>
      <c r="F14" s="16" t="s">
        <v>157</v>
      </c>
      <c r="G14" s="5"/>
      <c r="H14" s="5"/>
      <c r="I14" s="5"/>
      <c r="J14" s="5"/>
      <c r="K14" s="5"/>
      <c r="L14" s="5"/>
      <c r="M14" s="5"/>
      <c r="N14" s="5"/>
      <c r="O14" s="5"/>
      <c r="P14" s="5"/>
      <c r="Q14" s="5"/>
      <c r="R14" s="5"/>
      <c r="S14" s="5"/>
      <c r="T14" s="5"/>
      <c r="U14" s="5"/>
      <c r="V14" s="5" t="s">
        <v>150</v>
      </c>
      <c r="W14" s="5" t="s">
        <v>178</v>
      </c>
      <c r="X14" s="5" t="s">
        <v>230</v>
      </c>
      <c r="Y14" s="5"/>
      <c r="Z14" s="1"/>
      <c r="AA14" s="32"/>
      <c r="AB14" s="32"/>
      <c r="AC14" s="18"/>
      <c r="AD14" s="57"/>
    </row>
    <row r="15" spans="1:30" s="26" customFormat="1" ht="54.75" customHeight="1">
      <c r="A15" s="13" t="s">
        <v>273</v>
      </c>
      <c r="B15" s="34"/>
      <c r="C15" s="16" t="s">
        <v>66</v>
      </c>
      <c r="D15" s="16"/>
      <c r="E15" s="16" t="s">
        <v>87</v>
      </c>
      <c r="F15" s="16"/>
      <c r="G15" s="5" t="s">
        <v>179</v>
      </c>
      <c r="H15" s="5" t="s">
        <v>164</v>
      </c>
      <c r="I15" s="5" t="s">
        <v>180</v>
      </c>
      <c r="J15" s="5" t="s">
        <v>181</v>
      </c>
      <c r="K15" s="5"/>
      <c r="L15" s="5"/>
      <c r="M15" s="5"/>
      <c r="N15" s="5"/>
      <c r="O15" s="5"/>
      <c r="P15" s="5"/>
      <c r="Q15" s="5"/>
      <c r="R15" s="5"/>
      <c r="S15" s="5"/>
      <c r="T15" s="5"/>
      <c r="U15" s="5"/>
      <c r="V15" s="5"/>
      <c r="W15" s="5"/>
      <c r="X15" s="5" t="s">
        <v>223</v>
      </c>
      <c r="Y15" s="5" t="s">
        <v>234</v>
      </c>
      <c r="Z15" s="1"/>
      <c r="AA15" s="32"/>
      <c r="AB15" s="32"/>
      <c r="AC15" s="18"/>
      <c r="AD15" s="57"/>
    </row>
    <row r="16" spans="1:30" s="26" customFormat="1" ht="46.5" customHeight="1">
      <c r="A16" s="13" t="s">
        <v>274</v>
      </c>
      <c r="B16" s="34" t="s">
        <v>52</v>
      </c>
      <c r="C16" s="16" t="s">
        <v>67</v>
      </c>
      <c r="D16" s="16" t="s">
        <v>75</v>
      </c>
      <c r="E16" s="16" t="s">
        <v>88</v>
      </c>
      <c r="F16" s="16" t="s">
        <v>162</v>
      </c>
      <c r="G16" s="5"/>
      <c r="H16" s="5"/>
      <c r="I16" s="5"/>
      <c r="J16" s="5"/>
      <c r="K16" s="5"/>
      <c r="L16" s="5"/>
      <c r="M16" s="5"/>
      <c r="N16" s="5"/>
      <c r="O16" s="5"/>
      <c r="P16" s="5"/>
      <c r="Q16" s="5"/>
      <c r="R16" s="5"/>
      <c r="S16" s="5"/>
      <c r="T16" s="5"/>
      <c r="U16" s="5"/>
      <c r="V16" s="5"/>
      <c r="W16" s="5" t="s">
        <v>171</v>
      </c>
      <c r="X16" s="5"/>
      <c r="Y16" s="5"/>
      <c r="Z16" s="1"/>
      <c r="AA16" s="32"/>
      <c r="AB16" s="32"/>
      <c r="AC16" s="18"/>
      <c r="AD16" s="57"/>
    </row>
    <row r="17" spans="1:30" s="26" customFormat="1" ht="213" customHeight="1">
      <c r="A17" s="13" t="s">
        <v>275</v>
      </c>
      <c r="B17" s="34" t="s">
        <v>57</v>
      </c>
      <c r="C17" s="16" t="s">
        <v>68</v>
      </c>
      <c r="D17" s="16" t="s">
        <v>74</v>
      </c>
      <c r="E17" s="16" t="s">
        <v>98</v>
      </c>
      <c r="F17" s="16" t="s">
        <v>182</v>
      </c>
      <c r="G17" s="5"/>
      <c r="H17" s="5"/>
      <c r="I17" s="5"/>
      <c r="J17" s="5"/>
      <c r="K17" s="5"/>
      <c r="L17" s="5"/>
      <c r="M17" s="5"/>
      <c r="N17" s="5"/>
      <c r="O17" s="5"/>
      <c r="P17" s="5"/>
      <c r="Q17" s="5" t="s">
        <v>248</v>
      </c>
      <c r="R17" s="5" t="s">
        <v>250</v>
      </c>
      <c r="S17" s="5" t="s">
        <v>252</v>
      </c>
      <c r="T17" s="5"/>
      <c r="U17" s="5" t="s">
        <v>257</v>
      </c>
      <c r="V17" s="5" t="s">
        <v>151</v>
      </c>
      <c r="W17" s="5"/>
      <c r="X17" s="5" t="s">
        <v>222</v>
      </c>
      <c r="Y17" s="5" t="s">
        <v>235</v>
      </c>
      <c r="Z17" s="1" t="s">
        <v>30</v>
      </c>
      <c r="AA17" s="32"/>
      <c r="AB17" s="32"/>
      <c r="AC17" s="18"/>
      <c r="AD17" s="57"/>
    </row>
    <row r="18" spans="1:30" s="26" customFormat="1" ht="75.75" customHeight="1">
      <c r="A18" s="13" t="s">
        <v>276</v>
      </c>
      <c r="B18" s="34" t="s">
        <v>203</v>
      </c>
      <c r="C18" s="16" t="s">
        <v>204</v>
      </c>
      <c r="D18" s="16" t="s">
        <v>205</v>
      </c>
      <c r="E18" s="16" t="s">
        <v>205</v>
      </c>
      <c r="F18" s="16" t="s">
        <v>203</v>
      </c>
      <c r="G18" s="5"/>
      <c r="H18" s="5"/>
      <c r="I18" s="5"/>
      <c r="J18" s="5"/>
      <c r="K18" s="5"/>
      <c r="L18" s="5"/>
      <c r="M18" s="5"/>
      <c r="N18" s="5"/>
      <c r="O18" s="5"/>
      <c r="P18" s="5"/>
      <c r="Q18" s="5" t="s">
        <v>249</v>
      </c>
      <c r="R18" s="5" t="s">
        <v>251</v>
      </c>
      <c r="S18" s="5" t="s">
        <v>253</v>
      </c>
      <c r="T18" s="5" t="s">
        <v>256</v>
      </c>
      <c r="U18" s="5" t="s">
        <v>258</v>
      </c>
      <c r="V18" s="5" t="s">
        <v>216</v>
      </c>
      <c r="W18" s="5" t="s">
        <v>217</v>
      </c>
      <c r="X18" s="5" t="s">
        <v>220</v>
      </c>
      <c r="Y18" s="5" t="s">
        <v>241</v>
      </c>
      <c r="Z18" s="1" t="s">
        <v>219</v>
      </c>
      <c r="AA18" s="32"/>
      <c r="AB18" s="32"/>
      <c r="AC18" s="18"/>
      <c r="AD18" s="57"/>
    </row>
    <row r="19" spans="1:30" s="26" customFormat="1" ht="185.25" customHeight="1">
      <c r="A19" s="13" t="s">
        <v>277</v>
      </c>
      <c r="B19" s="34" t="s">
        <v>53</v>
      </c>
      <c r="C19" s="16" t="s">
        <v>70</v>
      </c>
      <c r="D19" s="16" t="s">
        <v>83</v>
      </c>
      <c r="E19" s="16" t="s">
        <v>156</v>
      </c>
      <c r="F19" s="16" t="s">
        <v>158</v>
      </c>
      <c r="G19" s="5" t="s">
        <v>33</v>
      </c>
      <c r="H19" s="5" t="s">
        <v>183</v>
      </c>
      <c r="I19" s="5" t="s">
        <v>184</v>
      </c>
      <c r="J19" s="5" t="s">
        <v>185</v>
      </c>
      <c r="K19" s="5" t="s">
        <v>116</v>
      </c>
      <c r="L19" s="5" t="s">
        <v>119</v>
      </c>
      <c r="M19" s="5" t="s">
        <v>122</v>
      </c>
      <c r="N19" s="5" t="s">
        <v>124</v>
      </c>
      <c r="O19" s="5" t="s">
        <v>128</v>
      </c>
      <c r="P19" s="5" t="s">
        <v>131</v>
      </c>
      <c r="Q19" s="5" t="s">
        <v>259</v>
      </c>
      <c r="R19" s="5" t="s">
        <v>260</v>
      </c>
      <c r="S19" s="5" t="s">
        <v>261</v>
      </c>
      <c r="T19" s="5" t="s">
        <v>262</v>
      </c>
      <c r="U19" s="5" t="s">
        <v>263</v>
      </c>
      <c r="V19" s="5"/>
      <c r="W19" s="5"/>
      <c r="X19" s="5" t="s">
        <v>228</v>
      </c>
      <c r="Y19" s="5" t="s">
        <v>240</v>
      </c>
      <c r="Z19" s="1" t="s">
        <v>28</v>
      </c>
      <c r="AA19" s="32"/>
      <c r="AB19" s="32"/>
      <c r="AC19" s="18"/>
      <c r="AD19" s="57"/>
    </row>
    <row r="20" spans="1:30" s="26" customFormat="1" ht="66.75" customHeight="1">
      <c r="A20" s="13" t="s">
        <v>278</v>
      </c>
      <c r="B20" s="34" t="s">
        <v>203</v>
      </c>
      <c r="C20" s="16" t="s">
        <v>204</v>
      </c>
      <c r="D20" s="16" t="s">
        <v>205</v>
      </c>
      <c r="E20" s="16" t="s">
        <v>205</v>
      </c>
      <c r="F20" s="16" t="s">
        <v>203</v>
      </c>
      <c r="G20" s="5" t="s">
        <v>206</v>
      </c>
      <c r="H20" s="5"/>
      <c r="I20" s="5"/>
      <c r="J20" s="5"/>
      <c r="K20" s="5"/>
      <c r="L20" s="5"/>
      <c r="M20" s="5"/>
      <c r="N20" s="5"/>
      <c r="O20" s="5"/>
      <c r="P20" s="5"/>
      <c r="Q20" s="5"/>
      <c r="R20" s="5"/>
      <c r="S20" s="5"/>
      <c r="T20" s="5"/>
      <c r="U20" s="5"/>
      <c r="V20" s="5"/>
      <c r="W20" s="5"/>
      <c r="X20" s="5"/>
      <c r="Y20" s="5"/>
      <c r="Z20" s="1" t="s">
        <v>218</v>
      </c>
      <c r="AA20" s="31" t="s">
        <v>265</v>
      </c>
      <c r="AB20" s="31" t="s">
        <v>153</v>
      </c>
      <c r="AC20" s="12" t="s">
        <v>29</v>
      </c>
      <c r="AD20" s="58" t="s">
        <v>154</v>
      </c>
    </row>
    <row r="21" spans="1:30" s="26" customFormat="1" ht="37.5" customHeight="1">
      <c r="A21" s="13" t="s">
        <v>279</v>
      </c>
      <c r="B21" s="34"/>
      <c r="C21" s="16" t="s">
        <v>61</v>
      </c>
      <c r="D21" s="16" t="s">
        <v>85</v>
      </c>
      <c r="E21" s="16" t="s">
        <v>186</v>
      </c>
      <c r="F21" s="16" t="s">
        <v>187</v>
      </c>
      <c r="G21" s="5" t="s">
        <v>31</v>
      </c>
      <c r="H21" s="5"/>
      <c r="I21" s="5" t="s">
        <v>188</v>
      </c>
      <c r="J21" s="5" t="s">
        <v>189</v>
      </c>
      <c r="K21" s="5"/>
      <c r="L21" s="5"/>
      <c r="M21" s="5"/>
      <c r="N21" s="5"/>
      <c r="O21" s="5"/>
      <c r="P21" s="5"/>
      <c r="Q21" s="5"/>
      <c r="R21" s="5"/>
      <c r="S21" s="5"/>
      <c r="T21" s="5"/>
      <c r="U21" s="5"/>
      <c r="V21" s="5"/>
      <c r="W21" s="5"/>
      <c r="X21" s="5"/>
      <c r="Y21" s="5"/>
      <c r="Z21" s="1"/>
      <c r="AA21" s="32"/>
      <c r="AB21" s="32"/>
      <c r="AC21" s="18"/>
      <c r="AD21" s="57"/>
    </row>
    <row r="22" spans="1:30" s="26" customFormat="1" ht="45" customHeight="1">
      <c r="A22" s="13" t="s">
        <v>280</v>
      </c>
      <c r="B22" s="34" t="s">
        <v>176</v>
      </c>
      <c r="C22" s="16" t="s">
        <v>64</v>
      </c>
      <c r="D22" s="16" t="s">
        <v>81</v>
      </c>
      <c r="E22" s="16" t="s">
        <v>93</v>
      </c>
      <c r="F22" s="16" t="s">
        <v>101</v>
      </c>
      <c r="G22" s="17"/>
      <c r="H22" s="17"/>
      <c r="I22" s="17"/>
      <c r="J22" s="17"/>
      <c r="K22" s="5"/>
      <c r="L22" s="5"/>
      <c r="M22" s="5"/>
      <c r="N22" s="5"/>
      <c r="O22" s="5"/>
      <c r="P22" s="5"/>
      <c r="Q22" s="5"/>
      <c r="R22" s="5"/>
      <c r="S22" s="5"/>
      <c r="T22" s="5"/>
      <c r="U22" s="5"/>
      <c r="V22" s="5"/>
      <c r="W22" s="5"/>
      <c r="X22" s="5" t="s">
        <v>223</v>
      </c>
      <c r="Y22" s="5" t="s">
        <v>233</v>
      </c>
      <c r="Z22" s="1"/>
      <c r="AA22" s="32"/>
      <c r="AB22" s="32"/>
      <c r="AC22" s="18"/>
      <c r="AD22" s="57"/>
    </row>
    <row r="23" spans="1:30" s="26" customFormat="1" ht="39" customHeight="1">
      <c r="A23" s="13" t="s">
        <v>281</v>
      </c>
      <c r="B23" s="34" t="s">
        <v>190</v>
      </c>
      <c r="C23" s="16" t="s">
        <v>59</v>
      </c>
      <c r="D23" s="16" t="s">
        <v>82</v>
      </c>
      <c r="E23" s="16" t="s">
        <v>89</v>
      </c>
      <c r="F23" s="16" t="s">
        <v>161</v>
      </c>
      <c r="G23" s="5"/>
      <c r="H23" s="5"/>
      <c r="I23" s="5"/>
      <c r="J23" s="5"/>
      <c r="K23" s="5"/>
      <c r="L23" s="5"/>
      <c r="M23" s="5"/>
      <c r="N23" s="5"/>
      <c r="O23" s="5"/>
      <c r="P23" s="5"/>
      <c r="Q23" s="5"/>
      <c r="R23" s="5"/>
      <c r="S23" s="5"/>
      <c r="T23" s="5"/>
      <c r="U23" s="5" t="s">
        <v>191</v>
      </c>
      <c r="V23" s="5"/>
      <c r="W23" s="5"/>
      <c r="X23" s="5"/>
      <c r="Y23" s="5" t="s">
        <v>232</v>
      </c>
      <c r="Z23" s="1"/>
      <c r="AA23" s="32"/>
      <c r="AB23" s="32"/>
      <c r="AC23" s="18"/>
      <c r="AD23" s="57"/>
    </row>
    <row r="24" spans="1:30" s="26" customFormat="1" ht="102.75" customHeight="1">
      <c r="A24" s="13" t="s">
        <v>282</v>
      </c>
      <c r="B24" s="34" t="s">
        <v>214</v>
      </c>
      <c r="C24" s="16" t="s">
        <v>212</v>
      </c>
      <c r="D24" s="16" t="s">
        <v>210</v>
      </c>
      <c r="E24" s="16" t="s">
        <v>207</v>
      </c>
      <c r="F24" s="16" t="s">
        <v>160</v>
      </c>
      <c r="G24" s="5" t="s">
        <v>37</v>
      </c>
      <c r="H24" s="5" t="s">
        <v>106</v>
      </c>
      <c r="I24" s="5" t="s">
        <v>243</v>
      </c>
      <c r="J24" s="5" t="s">
        <v>112</v>
      </c>
      <c r="K24" s="60" t="s">
        <v>113</v>
      </c>
      <c r="L24" s="5" t="s">
        <v>246</v>
      </c>
      <c r="M24" s="5" t="s">
        <v>244</v>
      </c>
      <c r="N24" s="5" t="s">
        <v>245</v>
      </c>
      <c r="O24" s="5"/>
      <c r="P24" s="5"/>
      <c r="Q24" s="5"/>
      <c r="R24" s="5"/>
      <c r="S24" s="5"/>
      <c r="T24" s="5"/>
      <c r="U24" s="5"/>
      <c r="V24" s="60" t="s">
        <v>146</v>
      </c>
      <c r="W24" s="5" t="s">
        <v>173</v>
      </c>
      <c r="X24" s="5"/>
      <c r="Y24" s="5"/>
      <c r="Z24" s="1"/>
      <c r="AA24" s="32"/>
      <c r="AB24" s="32"/>
      <c r="AC24" s="18"/>
      <c r="AD24" s="57"/>
    </row>
    <row r="25" spans="1:30" s="26" customFormat="1" ht="42" customHeight="1">
      <c r="A25" s="76" t="s">
        <v>283</v>
      </c>
      <c r="B25" s="81" t="s">
        <v>213</v>
      </c>
      <c r="C25" s="59" t="s">
        <v>211</v>
      </c>
      <c r="D25" s="59" t="s">
        <v>209</v>
      </c>
      <c r="E25" s="59" t="s">
        <v>208</v>
      </c>
      <c r="F25" s="59"/>
      <c r="G25" s="60" t="s">
        <v>38</v>
      </c>
      <c r="H25" s="60" t="s">
        <v>192</v>
      </c>
      <c r="I25" s="60"/>
      <c r="J25" s="60"/>
      <c r="K25" s="60"/>
      <c r="L25" s="60"/>
      <c r="M25" s="60"/>
      <c r="N25" s="60"/>
      <c r="O25" s="60"/>
      <c r="P25" s="60"/>
      <c r="Q25" s="60"/>
      <c r="R25" s="60"/>
      <c r="S25" s="60"/>
      <c r="T25" s="60"/>
      <c r="U25" s="60"/>
      <c r="V25" s="60" t="s">
        <v>215</v>
      </c>
      <c r="W25" s="60"/>
      <c r="X25" s="60"/>
      <c r="Y25" s="60"/>
      <c r="Z25" s="61"/>
      <c r="AA25" s="62"/>
      <c r="AB25" s="62"/>
      <c r="AC25" s="63"/>
      <c r="AD25" s="64"/>
    </row>
    <row r="26" spans="1:30" s="26" customFormat="1" ht="29.25" customHeight="1">
      <c r="A26" s="13" t="s">
        <v>284</v>
      </c>
      <c r="B26" s="34"/>
      <c r="C26" s="16" t="s">
        <v>73</v>
      </c>
      <c r="D26" s="16" t="s">
        <v>76</v>
      </c>
      <c r="E26" s="16" t="s">
        <v>91</v>
      </c>
      <c r="F26" s="16" t="s">
        <v>193</v>
      </c>
      <c r="G26" s="5"/>
      <c r="H26" s="5"/>
      <c r="I26" s="5"/>
      <c r="J26" s="5"/>
      <c r="K26" s="5"/>
      <c r="L26" s="5"/>
      <c r="M26" s="5"/>
      <c r="N26" s="5"/>
      <c r="O26" s="5"/>
      <c r="P26" s="5"/>
      <c r="Q26" s="5" t="s">
        <v>247</v>
      </c>
      <c r="R26" s="5" t="s">
        <v>135</v>
      </c>
      <c r="S26" s="5" t="s">
        <v>254</v>
      </c>
      <c r="T26" s="5" t="s">
        <v>255</v>
      </c>
      <c r="U26" s="5"/>
      <c r="V26" s="5"/>
      <c r="W26" s="5"/>
      <c r="X26" s="5"/>
      <c r="Y26" s="5"/>
      <c r="Z26" s="1"/>
      <c r="AA26" s="32" t="s">
        <v>266</v>
      </c>
      <c r="AB26" s="32" t="s">
        <v>152</v>
      </c>
      <c r="AC26" s="18" t="s">
        <v>194</v>
      </c>
      <c r="AD26" s="57" t="s">
        <v>195</v>
      </c>
    </row>
    <row r="27" spans="1:30" s="26" customFormat="1" ht="141" customHeight="1">
      <c r="A27" s="13" t="s">
        <v>285</v>
      </c>
      <c r="B27" s="34" t="s">
        <v>51</v>
      </c>
      <c r="C27" s="16" t="s">
        <v>63</v>
      </c>
      <c r="D27" s="16" t="s">
        <v>80</v>
      </c>
      <c r="E27" s="16" t="s">
        <v>92</v>
      </c>
      <c r="F27" s="16" t="s">
        <v>159</v>
      </c>
      <c r="G27" s="5" t="s">
        <v>36</v>
      </c>
      <c r="H27" s="5" t="s">
        <v>177</v>
      </c>
      <c r="I27" s="5" t="s">
        <v>109</v>
      </c>
      <c r="J27" s="5" t="s">
        <v>111</v>
      </c>
      <c r="K27" s="5"/>
      <c r="L27" s="5"/>
      <c r="M27" s="5"/>
      <c r="N27" s="5"/>
      <c r="O27" s="5"/>
      <c r="P27" s="5"/>
      <c r="Q27" s="5" t="s">
        <v>133</v>
      </c>
      <c r="R27" s="5" t="s">
        <v>175</v>
      </c>
      <c r="S27" s="5" t="s">
        <v>140</v>
      </c>
      <c r="T27" s="5" t="s">
        <v>264</v>
      </c>
      <c r="U27" s="5" t="s">
        <v>145</v>
      </c>
      <c r="V27" s="5"/>
      <c r="W27" s="5"/>
      <c r="X27" s="5" t="s">
        <v>221</v>
      </c>
      <c r="Y27" s="5" t="s">
        <v>236</v>
      </c>
      <c r="Z27" s="1"/>
      <c r="AA27" s="32"/>
      <c r="AB27" s="32"/>
      <c r="AC27" s="18"/>
      <c r="AD27" s="57"/>
    </row>
    <row r="28" spans="1:30" s="26" customFormat="1" ht="38.25" customHeight="1">
      <c r="A28" s="19" t="s">
        <v>286</v>
      </c>
      <c r="B28" s="35"/>
      <c r="C28" s="22"/>
      <c r="D28" s="22" t="s">
        <v>196</v>
      </c>
      <c r="E28" s="22"/>
      <c r="F28" s="22" t="s">
        <v>103</v>
      </c>
      <c r="G28" s="23"/>
      <c r="H28" s="23"/>
      <c r="I28" s="23"/>
      <c r="J28" s="23"/>
      <c r="K28" s="23"/>
      <c r="L28" s="23"/>
      <c r="M28" s="23"/>
      <c r="N28" s="23"/>
      <c r="O28" s="23"/>
      <c r="P28" s="23"/>
      <c r="Q28" s="23" t="s">
        <v>197</v>
      </c>
      <c r="R28" s="23" t="s">
        <v>198</v>
      </c>
      <c r="S28" s="23" t="s">
        <v>199</v>
      </c>
      <c r="T28" s="23" t="s">
        <v>200</v>
      </c>
      <c r="U28" s="23" t="s">
        <v>201</v>
      </c>
      <c r="V28" s="23" t="s">
        <v>149</v>
      </c>
      <c r="W28" s="23" t="s">
        <v>202</v>
      </c>
      <c r="X28" s="23" t="s">
        <v>229</v>
      </c>
      <c r="Y28" s="23" t="s">
        <v>242</v>
      </c>
      <c r="Z28" s="4"/>
      <c r="AA28" s="33"/>
      <c r="AB28" s="33"/>
      <c r="AC28" s="24"/>
      <c r="AD28" s="65"/>
    </row>
  </sheetData>
  <sheetProtection/>
  <mergeCells count="17">
    <mergeCell ref="X7:Y7"/>
    <mergeCell ref="AA7:AD7"/>
    <mergeCell ref="B6:P6"/>
    <mergeCell ref="Q6:AD6"/>
    <mergeCell ref="A6:A8"/>
    <mergeCell ref="B7:F7"/>
    <mergeCell ref="G7:J7"/>
    <mergeCell ref="K7:P7"/>
    <mergeCell ref="Q7:U7"/>
    <mergeCell ref="V7:W7"/>
    <mergeCell ref="A2:A4"/>
    <mergeCell ref="B2:D2"/>
    <mergeCell ref="Y2:AC2"/>
    <mergeCell ref="B3:D3"/>
    <mergeCell ref="Y3:AC3"/>
    <mergeCell ref="B4:D4"/>
    <mergeCell ref="Y4:AC4"/>
  </mergeCells>
  <printOptions horizontalCentered="1"/>
  <pageMargins left="0.1968503937007874" right="0.1968503937007874" top="0.1968503937007874" bottom="0.1968503937007874" header="0.1968503937007874" footer="0.1968503937007874"/>
  <pageSetup fitToHeight="0" fitToWidth="1" horizontalDpi="600" verticalDpi="600" orientation="landscape" paperSize="8" scale="46" r:id="rId2"/>
  <headerFooter>
    <oddFooter>&amp;R4年　&amp;P/&amp;N</oddFooter>
  </headerFooter>
  <drawing r:id="rId1"/>
</worksheet>
</file>

<file path=xl/worksheets/sheet3.xml><?xml version="1.0" encoding="utf-8"?>
<worksheet xmlns="http://schemas.openxmlformats.org/spreadsheetml/2006/main" xmlns:r="http://schemas.openxmlformats.org/officeDocument/2006/relationships">
  <dimension ref="A1:I42"/>
  <sheetViews>
    <sheetView zoomScalePageLayoutView="0" workbookViewId="0" topLeftCell="A1">
      <selection activeCell="A1" sqref="A1"/>
    </sheetView>
  </sheetViews>
  <sheetFormatPr defaultColWidth="9.140625" defaultRowHeight="15"/>
  <cols>
    <col min="1" max="9" width="14.00390625" style="0" customWidth="1"/>
  </cols>
  <sheetData>
    <row r="1" ht="12.75">
      <c r="A1" s="97" t="s">
        <v>332</v>
      </c>
    </row>
    <row r="3" spans="1:9" ht="12.75">
      <c r="A3" s="98" t="s">
        <v>333</v>
      </c>
      <c r="B3" s="98"/>
      <c r="C3" s="98"/>
      <c r="D3" s="98"/>
      <c r="E3" s="98"/>
      <c r="F3" s="98"/>
      <c r="G3" s="98"/>
      <c r="H3" s="98"/>
      <c r="I3" s="98"/>
    </row>
    <row r="4" spans="1:9" ht="12.75">
      <c r="A4" s="98" t="s">
        <v>334</v>
      </c>
      <c r="B4" s="98"/>
      <c r="C4" s="99"/>
      <c r="D4" s="99"/>
      <c r="E4" s="98"/>
      <c r="F4" s="98"/>
      <c r="G4" s="98"/>
      <c r="H4" s="98"/>
      <c r="I4" s="98"/>
    </row>
    <row r="5" spans="1:9" ht="12.75">
      <c r="A5" s="98" t="s">
        <v>335</v>
      </c>
      <c r="B5" s="98"/>
      <c r="C5" s="98"/>
      <c r="D5" s="98"/>
      <c r="E5" s="98"/>
      <c r="F5" s="98"/>
      <c r="G5" s="98"/>
      <c r="H5" s="98"/>
      <c r="I5" s="98"/>
    </row>
    <row r="6" spans="1:9" ht="12.75">
      <c r="A6" s="98"/>
      <c r="B6" s="98"/>
      <c r="C6" s="98"/>
      <c r="D6" s="98"/>
      <c r="E6" s="98"/>
      <c r="F6" s="98"/>
      <c r="G6" s="98"/>
      <c r="H6" s="98"/>
      <c r="I6" s="98"/>
    </row>
    <row r="7" spans="1:9" ht="12.75">
      <c r="A7" s="98" t="s">
        <v>336</v>
      </c>
      <c r="B7" s="98"/>
      <c r="C7" s="98"/>
      <c r="D7" s="98"/>
      <c r="E7" s="98"/>
      <c r="F7" s="98"/>
      <c r="G7" s="98"/>
      <c r="H7" s="98"/>
      <c r="I7" s="98"/>
    </row>
    <row r="8" spans="1:9" ht="12.75">
      <c r="A8" s="98" t="s">
        <v>337</v>
      </c>
      <c r="B8" s="98"/>
      <c r="C8" s="98"/>
      <c r="D8" s="98"/>
      <c r="E8" s="98"/>
      <c r="F8" s="98"/>
      <c r="G8" s="98"/>
      <c r="H8" s="98"/>
      <c r="I8" s="98"/>
    </row>
    <row r="9" spans="1:9" ht="12.75">
      <c r="A9" s="98" t="s">
        <v>338</v>
      </c>
      <c r="B9" s="98"/>
      <c r="C9" s="98"/>
      <c r="D9" s="98"/>
      <c r="E9" s="98"/>
      <c r="F9" s="98"/>
      <c r="G9" s="98"/>
      <c r="H9" s="98"/>
      <c r="I9" s="98"/>
    </row>
    <row r="10" spans="1:9" ht="12.75">
      <c r="A10" s="98"/>
      <c r="B10" s="98"/>
      <c r="C10" s="98"/>
      <c r="D10" s="98"/>
      <c r="E10" s="98"/>
      <c r="F10" s="98"/>
      <c r="G10" s="98"/>
      <c r="H10" s="98"/>
      <c r="I10" s="98"/>
    </row>
    <row r="11" spans="1:9" ht="12.75">
      <c r="A11" s="100" t="s">
        <v>339</v>
      </c>
      <c r="B11" s="101" t="s">
        <v>340</v>
      </c>
      <c r="C11" s="100" t="s">
        <v>341</v>
      </c>
      <c r="D11" s="100" t="s">
        <v>342</v>
      </c>
      <c r="E11" s="102" t="s">
        <v>343</v>
      </c>
      <c r="F11" s="100" t="s">
        <v>344</v>
      </c>
      <c r="G11" s="101" t="s">
        <v>345</v>
      </c>
      <c r="H11" s="100" t="s">
        <v>346</v>
      </c>
      <c r="I11" s="100" t="s">
        <v>347</v>
      </c>
    </row>
    <row r="12" spans="1:9" ht="12.75">
      <c r="A12" s="103" t="s">
        <v>348</v>
      </c>
      <c r="B12" s="104" t="s">
        <v>349</v>
      </c>
      <c r="C12" s="103" t="s">
        <v>350</v>
      </c>
      <c r="D12" s="103" t="s">
        <v>350</v>
      </c>
      <c r="E12" s="105" t="s">
        <v>350</v>
      </c>
      <c r="F12" s="103" t="s">
        <v>42</v>
      </c>
      <c r="G12" s="104" t="s">
        <v>326</v>
      </c>
      <c r="H12" s="103" t="s">
        <v>350</v>
      </c>
      <c r="I12" s="103" t="s">
        <v>349</v>
      </c>
    </row>
    <row r="13" spans="1:9" ht="12.75">
      <c r="A13" s="103" t="s">
        <v>351</v>
      </c>
      <c r="B13" s="104" t="s">
        <v>42</v>
      </c>
      <c r="C13" s="103" t="s">
        <v>352</v>
      </c>
      <c r="D13" s="103" t="s">
        <v>352</v>
      </c>
      <c r="E13" s="105" t="s">
        <v>352</v>
      </c>
      <c r="F13" s="106" t="s">
        <v>353</v>
      </c>
      <c r="G13" s="107" t="s">
        <v>354</v>
      </c>
      <c r="H13" s="106" t="s">
        <v>326</v>
      </c>
      <c r="I13" s="103" t="s">
        <v>352</v>
      </c>
    </row>
    <row r="14" spans="1:9" ht="12.75">
      <c r="A14" s="103" t="s">
        <v>355</v>
      </c>
      <c r="B14" s="104" t="s">
        <v>356</v>
      </c>
      <c r="C14" s="103" t="s">
        <v>351</v>
      </c>
      <c r="D14" s="103" t="s">
        <v>351</v>
      </c>
      <c r="E14" s="105" t="s">
        <v>351</v>
      </c>
      <c r="F14" s="108"/>
      <c r="G14" s="108"/>
      <c r="H14" s="108"/>
      <c r="I14" s="103" t="s">
        <v>357</v>
      </c>
    </row>
    <row r="15" spans="1:9" ht="12.75">
      <c r="A15" s="103" t="s">
        <v>42</v>
      </c>
      <c r="B15" s="107" t="s">
        <v>327</v>
      </c>
      <c r="C15" s="103" t="s">
        <v>42</v>
      </c>
      <c r="D15" s="103" t="s">
        <v>42</v>
      </c>
      <c r="E15" s="105" t="s">
        <v>42</v>
      </c>
      <c r="F15" s="108"/>
      <c r="G15" s="108"/>
      <c r="H15" s="108"/>
      <c r="I15" s="106" t="s">
        <v>358</v>
      </c>
    </row>
    <row r="16" spans="1:9" ht="12.75">
      <c r="A16" s="106" t="s">
        <v>356</v>
      </c>
      <c r="B16" s="108"/>
      <c r="C16" s="103" t="s">
        <v>359</v>
      </c>
      <c r="D16" s="103" t="s">
        <v>356</v>
      </c>
      <c r="E16" s="109" t="s">
        <v>359</v>
      </c>
      <c r="F16" s="108"/>
      <c r="G16" s="108"/>
      <c r="H16" s="108"/>
      <c r="I16" s="108"/>
    </row>
    <row r="17" spans="1:9" ht="12.75">
      <c r="A17" s="108"/>
      <c r="B17" s="108"/>
      <c r="C17" s="106" t="s">
        <v>327</v>
      </c>
      <c r="D17" s="103" t="s">
        <v>359</v>
      </c>
      <c r="E17" s="108"/>
      <c r="F17" s="108"/>
      <c r="G17" s="108"/>
      <c r="H17" s="108"/>
      <c r="I17" s="108"/>
    </row>
    <row r="18" spans="1:9" ht="12.75">
      <c r="A18" s="108"/>
      <c r="B18" s="108"/>
      <c r="C18" s="108"/>
      <c r="D18" s="106" t="s">
        <v>354</v>
      </c>
      <c r="E18" s="108"/>
      <c r="F18" s="108"/>
      <c r="G18" s="108"/>
      <c r="H18" s="108"/>
      <c r="I18" s="108"/>
    </row>
    <row r="19" spans="1:9" ht="12.75">
      <c r="A19" s="98"/>
      <c r="B19" s="98"/>
      <c r="C19" s="98"/>
      <c r="D19" s="98"/>
      <c r="E19" s="98"/>
      <c r="F19" s="98"/>
      <c r="G19" s="98"/>
      <c r="H19" s="98"/>
      <c r="I19" s="98"/>
    </row>
    <row r="20" spans="1:9" ht="12.75">
      <c r="A20" s="98"/>
      <c r="B20" s="98"/>
      <c r="C20" s="98"/>
      <c r="D20" s="98"/>
      <c r="E20" s="98"/>
      <c r="F20" s="98"/>
      <c r="G20" s="98"/>
      <c r="H20" s="98"/>
      <c r="I20" s="98"/>
    </row>
    <row r="21" spans="1:9" ht="12.75">
      <c r="A21" s="98"/>
      <c r="B21" s="98"/>
      <c r="C21" s="98"/>
      <c r="D21" s="98"/>
      <c r="E21" s="98"/>
      <c r="F21" s="98"/>
      <c r="G21" s="98"/>
      <c r="H21" s="98"/>
      <c r="I21" s="98"/>
    </row>
    <row r="22" spans="1:9" ht="12.75">
      <c r="A22" s="98"/>
      <c r="B22" s="98"/>
      <c r="C22" s="98"/>
      <c r="D22" s="98"/>
      <c r="E22" s="98"/>
      <c r="F22" s="98"/>
      <c r="G22" s="98"/>
      <c r="H22" s="98"/>
      <c r="I22" s="98"/>
    </row>
    <row r="23" spans="1:9" ht="12.75">
      <c r="A23" s="98"/>
      <c r="B23" s="98"/>
      <c r="C23" s="98"/>
      <c r="D23" s="98"/>
      <c r="E23" s="98"/>
      <c r="F23" s="98"/>
      <c r="G23" s="98"/>
      <c r="H23" s="98"/>
      <c r="I23" s="98"/>
    </row>
    <row r="24" spans="1:9" ht="12.75">
      <c r="A24" s="98"/>
      <c r="B24" s="98"/>
      <c r="C24" s="98"/>
      <c r="D24" s="98"/>
      <c r="E24" s="98"/>
      <c r="F24" s="98"/>
      <c r="G24" s="98"/>
      <c r="H24" s="98"/>
      <c r="I24" s="98"/>
    </row>
    <row r="25" spans="1:9" ht="12.75">
      <c r="A25" s="98"/>
      <c r="B25" s="98"/>
      <c r="C25" s="98"/>
      <c r="D25" s="98"/>
      <c r="E25" s="98"/>
      <c r="F25" s="98"/>
      <c r="G25" s="98"/>
      <c r="H25" s="98"/>
      <c r="I25" s="98"/>
    </row>
    <row r="26" spans="1:9" ht="12.75">
      <c r="A26" s="98"/>
      <c r="B26" s="98"/>
      <c r="C26" s="98"/>
      <c r="D26" s="98"/>
      <c r="E26" s="98"/>
      <c r="F26" s="98"/>
      <c r="G26" s="98"/>
      <c r="H26" s="98"/>
      <c r="I26" s="98"/>
    </row>
    <row r="27" spans="1:9" ht="12.75">
      <c r="A27" s="98"/>
      <c r="B27" s="98"/>
      <c r="C27" s="98"/>
      <c r="D27" s="98"/>
      <c r="E27" s="98"/>
      <c r="F27" s="98"/>
      <c r="G27" s="98"/>
      <c r="H27" s="98"/>
      <c r="I27" s="98"/>
    </row>
    <row r="28" spans="1:9" ht="12.75">
      <c r="A28" s="98"/>
      <c r="B28" s="98"/>
      <c r="C28" s="98"/>
      <c r="D28" s="98"/>
      <c r="E28" s="98"/>
      <c r="F28" s="98"/>
      <c r="G28" s="98"/>
      <c r="H28" s="98"/>
      <c r="I28" s="98"/>
    </row>
    <row r="29" spans="1:9" ht="12.75">
      <c r="A29" s="98"/>
      <c r="B29" s="98"/>
      <c r="C29" s="98"/>
      <c r="D29" s="98"/>
      <c r="E29" s="98"/>
      <c r="F29" s="98"/>
      <c r="G29" s="98"/>
      <c r="H29" s="98"/>
      <c r="I29" s="98"/>
    </row>
    <row r="30" spans="1:9" ht="12.75">
      <c r="A30" s="98"/>
      <c r="B30" s="98"/>
      <c r="C30" s="98"/>
      <c r="D30" s="98"/>
      <c r="E30" s="98"/>
      <c r="F30" s="98"/>
      <c r="G30" s="98"/>
      <c r="H30" s="98"/>
      <c r="I30" s="98"/>
    </row>
    <row r="31" spans="1:9" ht="12.75">
      <c r="A31" s="98"/>
      <c r="B31" s="98"/>
      <c r="C31" s="98"/>
      <c r="D31" s="98"/>
      <c r="E31" s="98"/>
      <c r="F31" s="98"/>
      <c r="G31" s="98"/>
      <c r="H31" s="98"/>
      <c r="I31" s="98"/>
    </row>
    <row r="32" spans="1:9" ht="12.75">
      <c r="A32" s="98"/>
      <c r="B32" s="98"/>
      <c r="C32" s="98"/>
      <c r="D32" s="98"/>
      <c r="E32" s="98"/>
      <c r="F32" s="98"/>
      <c r="G32" s="98"/>
      <c r="H32" s="98"/>
      <c r="I32" s="98"/>
    </row>
    <row r="33" spans="1:9" ht="12.75">
      <c r="A33" s="98"/>
      <c r="B33" s="98"/>
      <c r="C33" s="98"/>
      <c r="D33" s="98"/>
      <c r="E33" s="98"/>
      <c r="F33" s="98"/>
      <c r="G33" s="98"/>
      <c r="H33" s="98"/>
      <c r="I33" s="98"/>
    </row>
    <row r="34" spans="1:9" ht="12.75">
      <c r="A34" s="98"/>
      <c r="B34" s="98"/>
      <c r="C34" s="98"/>
      <c r="D34" s="98"/>
      <c r="E34" s="98"/>
      <c r="F34" s="98"/>
      <c r="G34" s="98"/>
      <c r="H34" s="98"/>
      <c r="I34" s="98"/>
    </row>
    <row r="35" spans="1:9" ht="12.75">
      <c r="A35" s="98"/>
      <c r="B35" s="98"/>
      <c r="C35" s="98"/>
      <c r="D35" s="98"/>
      <c r="E35" s="98"/>
      <c r="F35" s="98"/>
      <c r="G35" s="98"/>
      <c r="H35" s="98"/>
      <c r="I35" s="98"/>
    </row>
    <row r="36" spans="1:9" ht="12.75">
      <c r="A36" s="98"/>
      <c r="B36" s="98"/>
      <c r="C36" s="98"/>
      <c r="D36" s="98"/>
      <c r="E36" s="98"/>
      <c r="F36" s="98"/>
      <c r="G36" s="98"/>
      <c r="H36" s="98"/>
      <c r="I36" s="98"/>
    </row>
    <row r="37" spans="1:9" ht="12.75">
      <c r="A37" s="98"/>
      <c r="B37" s="98"/>
      <c r="C37" s="98"/>
      <c r="D37" s="98"/>
      <c r="E37" s="98"/>
      <c r="F37" s="98"/>
      <c r="G37" s="98"/>
      <c r="H37" s="98"/>
      <c r="I37" s="98"/>
    </row>
    <row r="38" spans="1:9" ht="12.75">
      <c r="A38" s="98"/>
      <c r="B38" s="98"/>
      <c r="C38" s="98"/>
      <c r="D38" s="98"/>
      <c r="E38" s="98"/>
      <c r="F38" s="98"/>
      <c r="G38" s="98"/>
      <c r="H38" s="98"/>
      <c r="I38" s="98"/>
    </row>
    <row r="39" spans="1:9" ht="12.75">
      <c r="A39" s="98"/>
      <c r="B39" s="98"/>
      <c r="C39" s="98"/>
      <c r="D39" s="98"/>
      <c r="E39" s="98"/>
      <c r="F39" s="98"/>
      <c r="G39" s="98"/>
      <c r="H39" s="98"/>
      <c r="I39" s="98"/>
    </row>
    <row r="40" spans="1:9" ht="12.75">
      <c r="A40" s="98"/>
      <c r="B40" s="98"/>
      <c r="C40" s="98"/>
      <c r="D40" s="98"/>
      <c r="E40" s="98"/>
      <c r="F40" s="98"/>
      <c r="G40" s="98"/>
      <c r="H40" s="98"/>
      <c r="I40" s="98"/>
    </row>
    <row r="41" spans="1:9" ht="12.75">
      <c r="A41" s="98"/>
      <c r="B41" s="98"/>
      <c r="C41" s="98"/>
      <c r="D41" s="98"/>
      <c r="E41" s="98"/>
      <c r="F41" s="98"/>
      <c r="G41" s="98"/>
      <c r="H41" s="98"/>
      <c r="I41" s="98"/>
    </row>
    <row r="42" spans="1:9" ht="12.75">
      <c r="A42" s="98"/>
      <c r="B42" s="98"/>
      <c r="C42" s="98"/>
      <c r="D42" s="98"/>
      <c r="E42" s="98"/>
      <c r="F42" s="98"/>
      <c r="G42" s="98"/>
      <c r="H42" s="98"/>
      <c r="I42" s="98"/>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henshu</dc:creator>
  <cp:keywords/>
  <dc:description/>
  <cp:lastModifiedBy>henshu</cp:lastModifiedBy>
  <cp:lastPrinted>2017-07-27T02:13:52Z</cp:lastPrinted>
  <dcterms:created xsi:type="dcterms:W3CDTF">2012-09-21T00:30:40Z</dcterms:created>
  <dcterms:modified xsi:type="dcterms:W3CDTF">2017-09-27T07:05:20Z</dcterms:modified>
  <cp:category/>
  <cp:version/>
  <cp:contentType/>
  <cp:contentStatus/>
</cp:coreProperties>
</file>