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内容項目別】全体計画例別葉3年" sheetId="1" r:id="rId1"/>
    <sheet name="【内容項目別】発行者別一覧3年" sheetId="2" r:id="rId2"/>
    <sheet name="ご利用の留意点" sheetId="3" r:id="rId3"/>
  </sheets>
  <definedNames>
    <definedName name="_xlnm.Print_Area" localSheetId="0">'【内容項目別】全体計画例別葉3年'!$A$1:$N$28</definedName>
    <definedName name="_xlnm.Print_Titles" localSheetId="0">'【内容項目別】全体計画例別葉3年'!$A:$D,'【内容項目別】全体計画例別葉3年'!$6:$8</definedName>
    <definedName name="_xlnm.Print_Titles" localSheetId="1">'【内容項目別】発行者別一覧3年'!$A:$A,'【内容項目別】発行者別一覧3年'!$6:$8</definedName>
    <definedName name="音楽">'【内容項目別】発行者別一覧3年'!$V$8:$W$28</definedName>
    <definedName name="国語">'【内容項目別】発行者別一覧3年'!$B$8:$F$28</definedName>
    <definedName name="算数">'【内容項目別】発行者別一覧3年'!$K$8:$P$28</definedName>
    <definedName name="社会">'【内容項目別】発行者別一覧3年'!$G$8:$J$28</definedName>
    <definedName name="図画工作">'【内容項目別】発行者別一覧3年'!$X$8:$Y$28</definedName>
    <definedName name="保健">'【内容項目別】発行者別一覧3年'!$AA$8:$AD$28</definedName>
    <definedName name="理科">'【内容項目別】発行者別一覧3年'!$Q$8:$U$28</definedName>
  </definedNames>
  <calcPr fullCalcOnLoad="1"/>
</workbook>
</file>

<file path=xl/sharedStrings.xml><?xml version="1.0" encoding="utf-8"?>
<sst xmlns="http://schemas.openxmlformats.org/spreadsheetml/2006/main" count="460" uniqueCount="335">
  <si>
    <t>課題の内容</t>
  </si>
  <si>
    <t>学年の重点課題</t>
  </si>
  <si>
    <t>算数</t>
  </si>
  <si>
    <t>音楽</t>
  </si>
  <si>
    <t>特別活動</t>
  </si>
  <si>
    <t>光文書院</t>
  </si>
  <si>
    <t>体育</t>
  </si>
  <si>
    <t>理科</t>
  </si>
  <si>
    <t>道徳</t>
  </si>
  <si>
    <t>保健</t>
  </si>
  <si>
    <t>図画工作</t>
  </si>
  <si>
    <t>学級活動</t>
  </si>
  <si>
    <t>総合的な学習
の時間</t>
  </si>
  <si>
    <t>クラブ，児童会，
委員会</t>
  </si>
  <si>
    <t>集団や社会のきまりを守る</t>
  </si>
  <si>
    <t>身近な人々と協力し助け合う</t>
  </si>
  <si>
    <t>●係を決めよう/4月
●係活動を見直そう/6月</t>
  </si>
  <si>
    <t xml:space="preserve">●学級スポーツ大会をしよう/11月
</t>
  </si>
  <si>
    <t xml:space="preserve">●夏休みの計画を立てよう/7月
●2学期の目標を立てよう/9月
●学級文庫を活用しよう/10月
●冬休みの計画を立てよう/12月
●3学期の目標を立てよう/1月
</t>
  </si>
  <si>
    <t>●学級目標を決めよう/4月
●学級の旗を作ろう/5月
●6年生を送る会の準備をしよう/2月</t>
  </si>
  <si>
    <t>●1学期を振り返ろう/7月
●夏休みを振り返ろう/9月
●2学期を振り返ろう/12月
●1年間を振り返ろう/3月</t>
  </si>
  <si>
    <t xml:space="preserve">●委員会活動開始/4月
</t>
  </si>
  <si>
    <t>●全校集会/5月
●全校集会/10月
●全校集会/1月</t>
  </si>
  <si>
    <t>●クラブ活動開始/4月
●クラブ発表会/11月
●クラブ見学会/2月</t>
  </si>
  <si>
    <t>●1年間の活動のまとめ/3月</t>
  </si>
  <si>
    <t>●体ほぐしの運動/4月
●多様な動きをつくる運動/4月
●鉄棒運動/5月
●リングゲーム（ゴール型）/5月
●マット運動/6月
●浮く・泳ぐ運動/7月
●リズムダンス/9月
●体ほぐしの運動/9月
●多様な動きをつくる運動/9月
●鉄棒運動/10月
●かけっこ・リレー/10月
●走り幅とび/10月
●ハンドボール（ゴール型）/11月
●小型ハードル走/11月
●リズムダンス＋ちびっこ忍者の対決！（表現）/12月
●多様な動きをつくる運動＋ボール運びゲーム（ゴール型）/1月
●とび箱運動/2月
●プレルボール（ネット型）/3月</t>
  </si>
  <si>
    <t>●体ほぐしの運動/4月
●多様な動きをつくる運動/4月
●鉄棒運動/5月
●リングゲーム（ゴール型）/5月
●マット運動/6月
●浮く・泳ぐ運動/7月
●リズムダンス/9月
●体ほぐしの運動/9月
●多様な動きをつくる運動/9月
●鉄棒運動/10月
●かけっこ・リレー/10月
●走り幅とび/10月
●ハンドボール（ゴール型）/11月
●小型ハードル走/11月
●多様な動きをつくる運動＋ボール運びゲーム（ゴール型）/1月
●とび箱運動/2月
●プレルボール（ネット型）/3月</t>
  </si>
  <si>
    <t>社会</t>
  </si>
  <si>
    <t>国語</t>
  </si>
  <si>
    <t xml:space="preserve">
　　　　 教科・領域など
　内容項目</t>
  </si>
  <si>
    <t>国語</t>
  </si>
  <si>
    <t>東京書籍</t>
  </si>
  <si>
    <t>学校図書</t>
  </si>
  <si>
    <t>三省堂</t>
  </si>
  <si>
    <t>教育出版</t>
  </si>
  <si>
    <t>光村図書</t>
  </si>
  <si>
    <t>日本文教出版</t>
  </si>
  <si>
    <t>大日本図書</t>
  </si>
  <si>
    <t>啓林館</t>
  </si>
  <si>
    <t>教育芸術社</t>
  </si>
  <si>
    <t>開隆堂</t>
  </si>
  <si>
    <t>光文書院</t>
  </si>
  <si>
    <t>学研教育みらい</t>
  </si>
  <si>
    <t>保健</t>
  </si>
  <si>
    <t>●すいせんのラッパ/4月
●自然のかくし絵/4月
●紙ひこうき/夕日がせなかをおしてくる/9月</t>
  </si>
  <si>
    <t>●自分をしょうかいしよう/4月
●話したいな，うれしかったこと/5月
●グループで話し合おう/11月
●はりねずみと金貨/12月</t>
  </si>
  <si>
    <t>●ゆすげ村の小さな旅館/5月
●はりねずみと金貨/12月</t>
  </si>
  <si>
    <t>●調べて書こう，わたしのレポート/6月
●気持ちを言葉に/1月
●わらい話を楽しもう/1月</t>
  </si>
  <si>
    <t>●インタビューしてメモを取ろう/6月
●案内の手紙を書こう/11月
●町について調べてしょうかいしよう/2月</t>
  </si>
  <si>
    <t>●すいせんのラッパ/4月
●ゆすげ村の小さな旅館/5月
●サーカスのライオン/10月
●案内の手紙を書こう/11月
●もうどう犬の訓練/11月
●はりねずみと金貨/12月
●理由が分かるように書こう/2月</t>
  </si>
  <si>
    <t>●国語辞典のつかい方を知ろう/4月
●漢字の組み立てと意味を考えよう/6月
●「ほけんだより」を読みくらべよう/9月
●心にのこったことを/9月
●ようすをくわしく表そう/10月
●グループで話し合おう/11月
●案内の手紙を書こう/11月
●漢字の表す意味を考えよう/2月
●理由が分かるように書こう/2月
●いろいろなつたえ方を知ろう/2月</t>
  </si>
  <si>
    <t>●モチモチの木/2月</t>
  </si>
  <si>
    <t>●自分をしょうかいしよう/4月
●インタビューしてメモを取ろう/6月
●調べて書こう，わたしのレポート/6月
●本は友だち/7月
●紙ひこうき/夕日がせなかをおしてくる/9月
●「ほけんだより」を読みくらべよう/9月
●心にのこったことを/9月
●人物を考えて書こう/10月
●ようすをくわしく表そう/10月
●いろいろなつたえ方を知ろう/2月
●「わたしのベストブック」を作ろう/3月</t>
  </si>
  <si>
    <t>●合図としるし/5月
●うち　知ってんねん/夕日がせなかをおしてくる/9月</t>
  </si>
  <si>
    <t>●あんないじょうを書こう/9月</t>
  </si>
  <si>
    <t>●モチモチの木/11月</t>
  </si>
  <si>
    <t>●見てきたことを新聞にまとめよう/9月
●本のポップを作ろう/12月</t>
  </si>
  <si>
    <t>●心をとどけよう，受け止めよう/1月</t>
  </si>
  <si>
    <t>●コロコロ・スピーチ/4月
●つり橋わたれ/4月
●わたし・ぼくの「すきなこと」「とく意わざ」しょうかい/6月
●あらしの夜に/7月
●おもしろさを話し合おう/7月
●うち　知ってんねん/夕日がせなかをおしてくる/9月
●クラスレクリエーションをしよう/11月
●心をとどけよう，受け止めよう/1月</t>
  </si>
  <si>
    <t>●にせてだます/5月
●猫のひげ/10月
●見たこと，感じたこと/11月
●冬眠する動物たち/1月</t>
  </si>
  <si>
    <t>●つり橋わたれ/4月
●おもしろさを話し合おう/7月
●見たこと，感じたこと/11月
●言葉のおもしろさを楽しもう/1月</t>
  </si>
  <si>
    <t>●にせてだます/5月
●わたし・ぼくの「すきなこと」「とく意わざ」しょうかい/6月
●俳句/9月
●見たこと，感じたこと/11月
●本のポップを作ろう/12月
●写真が動き出す/12月
●言葉のおもしろさを楽しもう/1月
●考えを広げよう，まとめよう/2月</t>
  </si>
  <si>
    <t>●うち　知ってんねん/夕日がせなかをおしてくる/9月
●遊びをくらべよう/2月</t>
  </si>
  <si>
    <t>●引用/5月
●合図としるし/5月
●文章のまとまりと分かりやすさ/6月
●考えを広げよう，まとめよう/2月
●遊びをくらべよう/2月</t>
  </si>
  <si>
    <t>●わにのおじいさんのたから物/3月</t>
  </si>
  <si>
    <t>●ピータイルねこ/4月</t>
  </si>
  <si>
    <t>●自分を見つめて/6月</t>
  </si>
  <si>
    <t>●声を合わせて楽しく読もう/6月
●声に出して読もう―俳句―/7月</t>
  </si>
  <si>
    <t>●小さなできごと/5月
●わすれられないおくり物/11月</t>
  </si>
  <si>
    <t>●わすれられないおくり物/11月</t>
  </si>
  <si>
    <t>●「農業」をする魚/11月</t>
  </si>
  <si>
    <t>●米と麦/5月
●「農業」をする魚/11月</t>
  </si>
  <si>
    <t>●おにたのぼうし/3月</t>
  </si>
  <si>
    <t>●あんないの手紙を書こう/5月
●身ぶりのはたらき/2月
●昔のことを聞いてきました/2月</t>
  </si>
  <si>
    <t>●こんなやり方をおすすめします/10月
●南の島へようこそ/12月
●おにたのぼうし/3月</t>
  </si>
  <si>
    <t>●言葉のなかま分け/4月
●本をさがそう/5月
●国語じてんをつかおう/6月
●うさぎのさいばん/7月
●漢字の組み立て/9月
●図かんでしらべよう/9月
●漢字じてんを引いてみよう/11月
●まとめた言葉/11月
●こそあど言葉/11月
●くわしくする言葉/2月</t>
  </si>
  <si>
    <t>●ピータイルねこ/4月
●よりよいクラスを作ろう/9月
●クラスのことを調べよう/12月
●三年生は楽しいよ/3月</t>
  </si>
  <si>
    <t>●「発見ノート」をつくろう/4月
●本で調べよう/5月
●生き物のとくちょうをくらべて書こう/5月</t>
  </si>
  <si>
    <t>●気持ちをつたえる話し方・聞き方/7月
●いろいろな手紙を書こう/9月
●見学したことを知らせよう/9月
●インタビューをしよう/9月</t>
  </si>
  <si>
    <t>●わすれられないおくりもの/9月</t>
  </si>
  <si>
    <t>●「聞き取りクイズ」をしよう/4月
●生き物のとくちょうをくらべて書こう/5月
●たからものをしょうかいしよう/6月
●はっとしたことを詩に書こう/11月
●「おすすめ図書カード」を活用しよう/12月</t>
  </si>
  <si>
    <t>●「聞き取りクイズ」をしよう/4月
●白い花びら/4月
●のらねこ/7月
●わすれられないおくりもの/9月
●係の活動について考えよう/11月
●「おすすめ図書カード」を活用しよう/12月</t>
  </si>
  <si>
    <t>●めだか/5月
●生き物のとくちょうをくらべて書こう/5月
●のらねこ/7月
●夕日がせなかをおしてくる/ゆうひのてがみ/いちばんぼし/1月</t>
  </si>
  <si>
    <t>●白い花びら/4月
●夕日がせなかをおしてくる/ゆうひのてがみ/いちばんぼし/1月</t>
  </si>
  <si>
    <t>●国語辞典の引き方/5月
●本で調べよう/5月
●くらしと絵文字/10月
●文の組み立て/1月</t>
  </si>
  <si>
    <t>●わすれられないおくりもの/9月
●どちらが生たまごでしょう/1月</t>
  </si>
  <si>
    <t>●モチモチの木/11月
●強く心にのこっていることを/2月</t>
  </si>
  <si>
    <t>●モチモチの木/11月
●おにたのぼうし/2月</t>
  </si>
  <si>
    <t>●気持ちをつたえる話し方・聞き方/7月
●くらしと絵文字/10月
●おにたのぼうし/2月</t>
  </si>
  <si>
    <t>●つたえよう，楽しい学校生活/9月</t>
  </si>
  <si>
    <t>●ちいちゃんのかげおくり/10月</t>
  </si>
  <si>
    <t>●三年とうげ/11月</t>
  </si>
  <si>
    <t>●里山は，未来の風景/7月
●食べ物のひみつを教えます/11月
●ありの行列/1月</t>
  </si>
  <si>
    <t>●よい聞き手になろう/5月
●きちんとつたえるために/5月
●しりょうから分かる，小学生のこと/1月</t>
  </si>
  <si>
    <t>●国語辞典のつかい方/4月
●こそあど言葉/5月
●言葉で遊ぼう/5月
●気になる記号/6月
●本を使って調べよう/7月
●へんとつくり/9月
●修飾語/10月
●漢字の意味/11月
●言葉を分類する/12月
●しりょうから分かる，小学生のこと/1月
●コンピューターのローマ字入力/2月</t>
  </si>
  <si>
    <t>●モチモチの木/3月</t>
  </si>
  <si>
    <t>●こそあど言葉/5月
●もうすぐ雨に/7月
●わたしと小鳥とすずと/山のてっぺん/9月
●たから島のぼうけん/12月
●わたしの三大ニュース/3月</t>
  </si>
  <si>
    <t xml:space="preserve">●きつつきの商売/4月
●きせつの言葉１　春の楽しみ/4月
●きせつの言葉２　夏の楽しみ/6月
●里山は，未来の風景/7月
●きせつの言葉３　秋の楽しみ/10月
●すがたをかえる大豆/11月
●きせつの言葉４　冬の楽しみ/12月
●ありの行列/1月
</t>
  </si>
  <si>
    <t>●市の様子/6月</t>
  </si>
  <si>
    <t xml:space="preserve">●「ありがとう」をつたえよう/7月
</t>
  </si>
  <si>
    <t xml:space="preserve">●「ありがとう」をつたえよう/7月
</t>
  </si>
  <si>
    <t>●学校のまわり/4月
●古い道具と昔のくらし/1月</t>
  </si>
  <si>
    <t>●のこしたいもの、つたえたいもの/2月</t>
  </si>
  <si>
    <t>●わたしの住むまちはどんなまち/4月
●わたしたちの市の様子/6月</t>
  </si>
  <si>
    <t>●店で働く人と仕事/9月
●工場で働く人と仕事/11月</t>
  </si>
  <si>
    <t>●わたしの住むまちはどんなまち/4月
●店で働く人と仕事/9月
●工場で働く人と仕事/11月
●昔の道具とくらし/2月</t>
  </si>
  <si>
    <t>●わたしの住むまちはどんなまち/4月
●わたしたちの市の様子/6月
●受け継がれる行事/1月
●昔の道具とくらし/2月</t>
  </si>
  <si>
    <t>●わたしたちのまちにある店/9月
●ものを育てたり、作ったりしている人たち/10月</t>
  </si>
  <si>
    <t>●わたしたちのまち/4月
●わたしたちの市/6月
●わたしたちのまちにある店/9月
●ものを育てたり、作ったりしている人たち/10月
●みんなでさがそう、昔のくらし/1月
●おはやしって、何だろう/3月</t>
  </si>
  <si>
    <t>●わたしたちのまちのようす/4月</t>
  </si>
  <si>
    <t>●わたしたちの市のようす/6月</t>
  </si>
  <si>
    <t>●店ではたらく人びとの仕事/9月
●工場ではたらく人びとの仕事/11月</t>
  </si>
  <si>
    <t>●店ではたらく人びとの仕事/9月
●工場ではたらく人びとの仕事/11月</t>
  </si>
  <si>
    <t>●わたしたちのまちのようす/4月
●わたしたちの市のようす/6月
●昔の道具と人びとのくらし/1月
●昔からつたわる行事/2月</t>
  </si>
  <si>
    <t>●かけ算/4月
●暗算/7月
●□を使った式/1月</t>
  </si>
  <si>
    <t>●ぼうグラフと表/3月</t>
  </si>
  <si>
    <t>●かけ算/4月
●時こくと時間のもとめ方/4月
●長いものの長さのはかり方/5月
●わり算/5月
●たし算とひき算の筆算/6月
●あまりのあるわり算/7月
●大きい数のしくみ/9月
●かけ算の筆算(1)/9月
●小数/10月
●重さのたんいとはかり方/11月
●円と球/11月
●分数/12月
●□を使った式/1月
●かけ算の筆算(2)/1月
●三角形/2月
●そろばん/3月</t>
  </si>
  <si>
    <t>●ぼうグラフと表/6月</t>
  </si>
  <si>
    <t>●かけ算/4月
●円と球/9月
●いろいろなわり算/10月
●長さ/10月
●２けたのかずをかける計算/1月
●二等辺三角形と正三角形/1月
●□を使った式/2月</t>
  </si>
  <si>
    <t>●３けたや４けたのたし算とひき算/4月
●かけ算/4月
●時こくと時間/5月
●かけ算の筆算/5月
●ぼうグラフと表/6月
●わり算/6月
●分数/9月
●円と球/9月
●いろいろなわり算/10月
●長さ/10月
●小数/10月
●重さの単位/11月
●10000より大きい数/12月
●２けたのかずをかける計算/1月
●二等辺三角形と正三角形/1月
●□を使った式/2月
●そろばん/3月</t>
  </si>
  <si>
    <t>●計算のしかたを考えよう/4月
●円と球/10月
●三角形/11月
●２けたのかけ算/1月</t>
  </si>
  <si>
    <t>●かけ算/4月
●時こくと時間/4月
●わり算/5月
●あまりのあるわり算/5月
●たし算とひき算/6月
●表とグラフ/7月
●かけ算の筆算/9月
●大きい数/9月
●長さ/10月
●円と球/10月
●小数/11月
●三角形/11月
●２けたのかけ算/1月
●分数/1月
●重さ/2月
●□を使った式/2月
●そろばん/3月</t>
  </si>
  <si>
    <t>●かけ算のきまり/4月
●たし算とひき算/4月
●時刻と時間/5月
●わり算/5月
●長さ/6月
●表と棒グラフ/6月
●あまりのある計算/7月
●10000より大きい数/9月
●円と球/9月
●かけ算とわり算の図/9月
●かけ算の筆算（1）/10月
●重さ/10月
●分数/11月
●三角形/12月
●小数/1月
●かけ算の筆算（２）/2月
●□を使った式と図/2月
●そろばん/3月</t>
  </si>
  <si>
    <t>●表と棒グラフ/6月
●算数をつかって考えよう/3月</t>
  </si>
  <si>
    <t>●たし算とひき算/4月
●算数をつかって考えよう/3月</t>
  </si>
  <si>
    <t>●九九の表とかけ算/4月
●わり算/4月
●円と球/5月
●かくれた数はいくつ（1）/6月
●たし算とひき算の筆算/6月
●一億までの数/6月
●たし算とひき算/7月
●時間と長さ/9月
●あまりのあるわり算/9月
●かくれた数はいくつ（2）/10月
●三角形/10月
●何倍でしょう/10月
●1けたをかけるかけ算の筆算/10月
●重さ/11月
●分数/12月
●べつべつに，いっしょに/1月
●表とグラフ/1月
●小数/1月
●2けたをかけるかけ算の筆算/2月
●□を使った式/3月
●そろばん/3月</t>
  </si>
  <si>
    <t>●かけ算/4月
●わり算/4月
●円と球/5月
●時間の計算と短い時間/5月
●たし算とひき算/6月
●ぼうグラフ/6月
●大きい数/9月
●あまりのあるわり算/9月
●長さ/10月
●かけ算の筆算（1）/10月
●大きい数のわり算/11月
●小数/11月
●三角形と角/11月
●分数/1月
●重さ/1月
●かけ算の筆算（２）/2月
●□を使った式/2月
●そろばん/3月</t>
  </si>
  <si>
    <t>●たねをまこう/5月
●チョウを育てよう/5月</t>
  </si>
  <si>
    <t>●春のしぜんにとびだそう/4月
●たねをまこう/5月
●チョウを育てよう/5月
●どれぐらい育ったかな/6月
●こん虫を調べよう/6月
●花がさいたよ/7月
●実ができたよ/9月
●太陽とかげの動きを調べよう/9月
●太陽の光を調べよう/10月
●風やゴムで動かそう/11月</t>
  </si>
  <si>
    <t>●明かりをつけよう/12月
●じしゃくにつけよう/1月
●物の重さをくらべよう/2月</t>
  </si>
  <si>
    <t>●風やゴムで動かそう/11月
●つくってあそぼう/2月
●物の重さをくらべよう/2月</t>
  </si>
  <si>
    <t>●しぜんのかんさつをしよう/4月
●植物をそだてよう（1）たねまき/4月
●こん虫をそだてよう/5月
●植物をそだてよう（2）葉・くき・根/6月
●ゴムや風でものをうごかそう/6月
●植物をそだてよう（3）花/7月
●動物のすみかをしらべよう/9月
●植物をそだてよう（4）花がさいたあと/9月
●太陽のうごきと地面のようすをしらべよう/10月
●太陽の光をしらべよう/11月</t>
  </si>
  <si>
    <t>●ものの重さをしらべよう/11月
●豆電球にあかりをつけよう/1月
●じしゃくのふしぎをしらべよう/2月</t>
  </si>
  <si>
    <t>●ゴムや風でものをうごかそう/6月
●ものの重さをしらべよう/11月
●おもちゃショーをひらこう/3月</t>
  </si>
  <si>
    <t>●しぜんのかんさつ/4月
●植物を育てよう/5月
●かげと太陽/5月
●ぐんぐんのびろ/6月
●チョウを育てよう/6月
●こん虫を調べよう/9月
●実ができるころ/9月
●光で遊ぼう/10月
●風のはたらき/11月</t>
  </si>
  <si>
    <t>●明かりをつけよう/11月
●じしゃくのひみつ/1月
●ものの重さを調べよう/2月</t>
  </si>
  <si>
    <t>●生き物をさがそう/4月
●植物を育てよう/4月
●チョウを育てよう/5月
●風やゴムのはたらき/6月
●葉を出したあとの植物/7月
●花をさかせたあとの植物/9月
●こん虫調べ/9月
●日なたと日かげ/10月
●光とかがみ/10月
●かげと太陽/11月</t>
  </si>
  <si>
    <t>●ものと重さ/12月
●電気の通り道/1月
●じしゃく/2月</t>
  </si>
  <si>
    <t>●日なたと日かげ/10月
●光とかがみ/10月
●かげと太陽/11月
●ものと重さ/12月
●電気の通り道/1月
●じしゃく/2月</t>
  </si>
  <si>
    <t>●風やゴムのはたらき/6月
●作って遊ぼう/3月</t>
  </si>
  <si>
    <t>●こん虫のかんさつ/9月</t>
  </si>
  <si>
    <t>●身近なしぜんのかんさつ/4月
●たねをまこう/4月
●チョウを育てよう/5月
●植物の育ちとつくり/6月
●風やゴムのはたらき/6月
●出かけよう　しぜんの中へ/7月
●こん虫のかんさつ/9月
●植物の一生/10月
●かげのでき方と太陽の光/10月
●光のせいしつ/11月</t>
  </si>
  <si>
    <t>●電気で明かりをつけよう/12月
●じしゃくのふしぎ/1月
●ものと重さ/2月</t>
  </si>
  <si>
    <t>●かげのでき方と太陽の光/10月
●光のせいしつ/11月
●電気で明かりをつけよう/12月
●じしゃくのふしぎ/1月
●ものと重さ/2月</t>
  </si>
  <si>
    <t>●風やゴムのはたらき/6月
●出かけよう　しぜんの中へ/7月
●おもちゃランドへようこそ/3月</t>
  </si>
  <si>
    <t>●すてきな声で/4月</t>
  </si>
  <si>
    <t>●にっぽんのうた　みんなのうた/5月</t>
  </si>
  <si>
    <t>●楽ふとドレミ/5月
●くり返し重ねて/7月</t>
  </si>
  <si>
    <t>●すてきな声で/4月
●こんにちは　リコーダー/5月
●くり返し重ねて/7月
●えんそうの　くふう/1月</t>
  </si>
  <si>
    <t>●せんりつと音色/9月
●音楽のききどころ/2月</t>
  </si>
  <si>
    <t>●気持ちを合わせて/3月</t>
  </si>
  <si>
    <t>●明るい歌声をひびかせよう/4月</t>
  </si>
  <si>
    <t>●リコーダーと　なかよし/6月</t>
  </si>
  <si>
    <t>●日本の音楽に親しもう/1月</t>
  </si>
  <si>
    <t>●明るい歌声をひびかせよう/4月
●拍のながれにのって　リズムをかんじとろう/9月
●せんりつのとくちょうをかんじとろう/10月
●いろいろな　音のひびきをかんじとろう/11月
●音を合わせて楽しもう/2月</t>
  </si>
  <si>
    <t>●ふんわりふわふわ/5月
●うれしかったあの気もち/7月</t>
  </si>
  <si>
    <t>●トントンドンドンくぎうち名人/10月</t>
  </si>
  <si>
    <t>●いつもの場しょで（選択）校ていで/校しゃの中で/4月
●切ってつないで大へんしん！（選択）ボール紙で/だんボールで/9月
●クミクミックス/10月
●ひもひもワールド/11月
●クリスタルファンタジー/12月
●まほうのとびらをあけると/1月</t>
  </si>
  <si>
    <t>●いつもの場しょで（選択）校ていで/校しゃの中で/4月
●色・形　いい感じ！/5月
●切ってかき出しくっつけて/5月
●ふんわりふわふわ/5月
●立ち上がった絵のせかい/6月
●カラフルフレンド/6月
●うれしかったあの気もち/7月
●切ってつないで大へんしん！（選択）ボール紙で/だんボールで/9月
●これにえがいたら/9月
●サクサク小刀名人/10月
●クミクミックス/10月
●大すきなものがたり/11月
●ハッピー小もの入れ/12月
●クリスタルファンタジー/12月
●まほうのとびらをあけると/1月
●ゴムの力で（選択）とことこ/クルクル/2月
●ねん土マイタウン/3月
●いろいろうつして/3月</t>
  </si>
  <si>
    <t>●けんこうな生活/6月</t>
  </si>
  <si>
    <t>●けんこうな生活/6月</t>
  </si>
  <si>
    <t>●毎日の生活とけんこう/10月</t>
  </si>
  <si>
    <t>●毎日の生活とけんこう/10月</t>
  </si>
  <si>
    <t>●毎日の生活と健康/2月</t>
  </si>
  <si>
    <t>●毎日の生活と健康/2月</t>
  </si>
  <si>
    <t>地域・家庭
との連携</t>
  </si>
  <si>
    <t>教科</t>
  </si>
  <si>
    <t>教科</t>
  </si>
  <si>
    <t>教科</t>
  </si>
  <si>
    <t>●市の人々の仕事/9月
●店ではたらく人/9月
●農家の仕事 /工場の仕事（選択）/11月</t>
  </si>
  <si>
    <t>●学校のまわり/4月
●市の様子/6月
●市の人々の仕事/9月
●農家の仕事 /工場の仕事（選択）/11月
●古い道具と昔のくらし/1月
●のこしたいもの、つたえたいもの/2月</t>
  </si>
  <si>
    <t>●光と色のファンタジー/小さな箱の物語（選択）/6月</t>
  </si>
  <si>
    <t>●友だちといっしょに/5月
●光と色のファンタジー/小さな箱の物語（選択）/6月</t>
  </si>
  <si>
    <t>●店ではたらく人/9月</t>
  </si>
  <si>
    <t>●もうすぐ雨に/7月</t>
  </si>
  <si>
    <t>●計算のしかたを考えよう/4月</t>
  </si>
  <si>
    <t>●太陽の光を調べよう/10月
●明かりをつけよう/12月</t>
  </si>
  <si>
    <t>●太陽の光をしらべよう/11月
●豆電球にあかりをつけよう/1月</t>
  </si>
  <si>
    <t>●光で遊ぼう/10月
●明かりをつけよう/11月
●ものの重さを調べよう/2月</t>
  </si>
  <si>
    <t>●トントンドンドンくぎうち名人/10月
●サクサク小刀名人/10月</t>
  </si>
  <si>
    <t>●ゆすげ村の小さな旅館/5月</t>
  </si>
  <si>
    <t xml:space="preserve">●ピータイルねこ/4月
</t>
  </si>
  <si>
    <t>●わたしたちのまちにある店/9月
●ものを育てたり、作ったりしている人たち/10月</t>
  </si>
  <si>
    <t>●店ではたらく人びとの仕事/9月
●工場ではたらく人びとの仕事/11月</t>
  </si>
  <si>
    <t>●モチモチの木/2月</t>
  </si>
  <si>
    <t>●モチモチの木/11月</t>
  </si>
  <si>
    <t xml:space="preserve">●ちいちゃんのかげおくり/10月
●モチモチの木/3月
</t>
  </si>
  <si>
    <t>●係の活動について考えよう/11月
●強く心にのこっていることを/2月</t>
  </si>
  <si>
    <t>●いつもの場所で…/10月
●みんなでオン・ステージ/3月</t>
  </si>
  <si>
    <t>●いつもの場しょで（選択）校ていで/校しゃの中で/4月
●ひもひもワールド/11月</t>
  </si>
  <si>
    <t>●声に出して読もう―俳句―/7月
●昔のことを聞いてきました/2月</t>
  </si>
  <si>
    <t>●わすれられないおくり物/11月
●いのち/2月</t>
  </si>
  <si>
    <t>●サーカスのライオン/10月</t>
  </si>
  <si>
    <t>●学級スポーツ大会をしよう/11月</t>
  </si>
  <si>
    <t>●自分をしょうかいしよう/4月
●グループで話し合おう/11月</t>
  </si>
  <si>
    <t>●人をつつむ形―世界の家
めぐり―/1月</t>
  </si>
  <si>
    <t>●ローマ字/10月</t>
  </si>
  <si>
    <t>●クラスレクリエーションをしよう/11月</t>
  </si>
  <si>
    <t>●つり橋わたれ/4月
●わたし・ぼくの「すきなこと」「とく意わざ」しょうかい/6月</t>
  </si>
  <si>
    <t>●つり橋わたれ/4月
●クラスレクリエーションをしよう/11月</t>
  </si>
  <si>
    <t>●おにたのぼうし/3月</t>
  </si>
  <si>
    <t>●うさぎのさいばん/7月
●何をしているのかな/7月
●ローマ字/10月
●カルタを作ろう/1月</t>
  </si>
  <si>
    <t>●こんなやり方をおすすめします/10月</t>
  </si>
  <si>
    <t>●おにたのぼうし/2月</t>
  </si>
  <si>
    <t>●気持ちをつたえる話し方・聞き方/7月</t>
  </si>
  <si>
    <t>●ローマ字/10月
●くらしと絵文字/10月
●ことわざ・慣用句/12月</t>
  </si>
  <si>
    <t>●ローマ字/10月
●三年とうげ/11月
●コンピューターのローマ字入力/2月
●ことわざについて調べよう/2月</t>
  </si>
  <si>
    <t>●「ありがとう」をつたえよう/7月</t>
  </si>
  <si>
    <t>●わたしと小鳥とすずと/山のてっぺん/9月</t>
  </si>
  <si>
    <t>●計算のしかたを考えよう/4月</t>
  </si>
  <si>
    <t>●そろばん/3月</t>
  </si>
  <si>
    <t>●気持ちを合わせて/3月</t>
  </si>
  <si>
    <t>●えんそうの　くふう/1月</t>
  </si>
  <si>
    <t>●えんそうの　くふう/1月
●気持ちを合わせて/3月</t>
  </si>
  <si>
    <t>●世界の歌めぐり/10月</t>
  </si>
  <si>
    <t>●俳句に親しもう/7月
●慣用句を使おう/11月
●町について調べてしょうかいしよう/2月</t>
  </si>
  <si>
    <t>●三まいのおふだ/4月
●俳句/9月
●見てきたことを新聞にまとめよう/9月
●マンホールのふた/10月
●遊びをくらべよう/2月</t>
  </si>
  <si>
    <t xml:space="preserve">●漢字の音と訓/4月
●きせつの言葉１　春の楽しみ/4月
●こまを楽しむ/5月
●きせつの言葉２　夏の楽しみ/6月
●里山は，未来の風景/7月
●きせつの言葉４　冬の楽しみ/12月
●ことわざについて調べよう/2月
</t>
  </si>
  <si>
    <t>●にっぽんのうた　みんなのうた/5月
●にっぽんのうた　みんなのうた/12月</t>
  </si>
  <si>
    <t>●ハンドボール（ゴール型）/11月
●多様な動きをつくる運動＋ボール運びゲーム（ゴール型）/1月
●プレルボール（ネット型）/3月</t>
  </si>
  <si>
    <t>●ハンドボール（ゴール型）/11月
●多様な動きをつくる運動＋ボール運びゲーム（ゴール型）/1月
●プレルボール（ネット型）/3月</t>
  </si>
  <si>
    <t>●友だちといっしょに/5月
●いつもの場所で…/10月
●みんなでオン・ステージ/3月</t>
  </si>
  <si>
    <t>●いつもの場しょで（選択）校ていで/校しゃの中で/4月
●クミクミックス/10月
●ひもひもワールド/11月
●クリスタルファンタジー/12月</t>
  </si>
  <si>
    <t>●たねをまこう/5月
●チョウを育てよう/5月
●どれぐらい育ったかな/6月
●こん虫を調べよう/6月
●花がさいたよ/7月
●実ができたよ/9月</t>
  </si>
  <si>
    <t>●太陽とかげの動きを調べよう/9月
●風やゴムで動かそう/11月</t>
  </si>
  <si>
    <t>●植物をそだてよう（1）たねまき/4月
●こん虫をそだてよう/5月
●植物をそだてよう（2）葉・くき・根/6月
●植物をそだてよう（3）花/7月
●植物をそだてよう（4）花がさいたあと/9月</t>
  </si>
  <si>
    <t>●ゴムや風でものをうごかそう/6月
●太陽のうごきと地面のようすをしらべよう/10月
●太陽の光をしらべよう/11月</t>
  </si>
  <si>
    <t>●植物を育てよう/5月
●ぐんぐんのびろ/6月
●チョウを育てよう/6月
●実ができるころ/9月</t>
  </si>
  <si>
    <t>●ゴムのはたらき/10月
●風のはたらき/11月</t>
  </si>
  <si>
    <t>●光で遊ぼう/10月
●ゴムのはたらき/10月
●風のはたらき/11月</t>
  </si>
  <si>
    <t>●植物を育てよう/4月
●チョウを育てよう/5月
●葉を出したあとの植物/7月
●花をさかせたあとの植物/9月</t>
  </si>
  <si>
    <t>●風やゴムのはたらき/6月
●日なたと日かげ/10月
●光とかがみ/10月
●かげと太陽/11月</t>
  </si>
  <si>
    <t>●たねをまこう/4月
●チョウを育てよう/5月
●植物の育ちとつくり/6月
●植物の一生/10月</t>
  </si>
  <si>
    <t>●風やゴムのはたらき/6月
●かげのでき方と太陽の光/10月
●光のせいしつ/11月</t>
  </si>
  <si>
    <t>●俳句に親しむ/6月
●ことわざ・慣用句/12月
●町の行事について調べよう/1月</t>
  </si>
  <si>
    <t>●絵の具と水のハーモニー/4月
●カラフルねん土のお店へようこそ/5月
●ようこそ，キラキラの世界へ/6月
●光と色のファンタジー/小さな箱の物語（選択）/6月
●にぎって，ひねって，ひらめいて/7月
●こんにちは，ふわふわさん/9月
●にじんで広がる色の世界/9月
●ふしぎな乗りもの/10月
●だんだんだんボール/11月
●タイヤをつけて出発進行!!
/11月
●でこぼこもようのなかまたち/12月
●ひみつのへんしんショー/1月
●のこぎりひいて，ザク，ザク，ザク/1月
●にこにこべんとう　ペタンコランチ/2月
●くつ下や手ぶくろにまほうをかけると/2月
●みんなでオン・ステージ/3月</t>
  </si>
  <si>
    <t>●長――い紙，つくって/6月
●タッチ，キャッチ，さわりごごち/10月
●いつもの場所で…/10月
●だんだんだんボール/11月
●みんなでオン・ステージ/3月</t>
  </si>
  <si>
    <t>●のこぎりひいて，ザク，ザク，ザク/1月</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</si>
  <si>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</si>
  <si>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</si>
  <si>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</si>
  <si>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</si>
  <si>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</si>
  <si>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</si>
  <si>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</si>
  <si>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</si>
  <si>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</si>
  <si>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</si>
  <si>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</si>
  <si>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</si>
  <si>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</si>
  <si>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</si>
  <si>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</si>
  <si>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</si>
  <si>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</si>
  <si>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</si>
  <si>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</si>
  <si>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</si>
  <si>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教育芸術社</t>
  </si>
  <si>
    <t>日本文教出版</t>
  </si>
  <si>
    <t>●思い切って言ったらどうなるの？/11月
●うわさ話・つらい気もち/1月</t>
  </si>
  <si>
    <t>●千ばづる/4月</t>
  </si>
  <si>
    <t xml:space="preserve">●太郎のいどう教室/7月
●台風の日/付録
</t>
  </si>
  <si>
    <t xml:space="preserve">●世界一うつくしい体そうをめざして ―内村航平―/9月
</t>
  </si>
  <si>
    <t>●ぼくらは小さなかにはかせ/10月</t>
  </si>
  <si>
    <t>●わたしのしたこと/6月
●おばあちゃんのコースター/付録</t>
  </si>
  <si>
    <t>●ぼく知らなかったよ/11月
●おばあちゃんのおせち/1月</t>
  </si>
  <si>
    <t xml:space="preserve">●電話のおじぎ/4月
●生きたれいぎ/12月
</t>
  </si>
  <si>
    <t xml:space="preserve">●友だち屋/4月
●ないた赤おに/9月
●きょうりょくクラス/2月
●赤い灯　ゆれろ/2月
</t>
  </si>
  <si>
    <t xml:space="preserve">●ドンマイ！　ドンマイ！/6月
●わたしだって/10月
</t>
  </si>
  <si>
    <t>●心の優先席/5月
●こまるのはだれ？ これでいいのかな？/10月
●みんなでつくろう！ がっきゅうルールブック/10月
●やくそくだもん/2月</t>
  </si>
  <si>
    <t>●お日さまの心で/3月</t>
  </si>
  <si>
    <t>●はた・らく/5月</t>
  </si>
  <si>
    <t>●清作のおてつだい/5月
●お母さん，かぜでねこむ ―ちびまる子ちゃん―/12月</t>
  </si>
  <si>
    <t xml:space="preserve">●いちょうの木をまもるために/11月
●四人五きゃく/2月
</t>
  </si>
  <si>
    <t>●キツネおどり/7月
●ぼくは　太郎山/9月
●こまったときは，おたがいさま/付録</t>
  </si>
  <si>
    <t>●海をわたるランドセル/3月</t>
  </si>
  <si>
    <t>●いのちのまつり/6月
●いただきます/6月
●うみねことたんぽぽ/9月
●命どぅたから/付録</t>
  </si>
  <si>
    <t>●目をさますたね/5月
●ヨシノボリ/付録</t>
  </si>
  <si>
    <t>●花さき山/11月</t>
  </si>
  <si>
    <t>３年　全体計画例別葉（教科領域等と道徳との関連計画表）【内容項目別】　　 2018年～2019年</t>
  </si>
  <si>
    <t>３年　全体計画例別葉（教科領域等と道徳との関連計画表）【内容項目別】　　 2018年～2019年</t>
  </si>
  <si>
    <t>教科書会社名一覧　※削除しないようご注意ください。</t>
  </si>
  <si>
    <t>国語</t>
  </si>
  <si>
    <t>東京書籍</t>
  </si>
  <si>
    <t>学校図書</t>
  </si>
  <si>
    <t>三省堂</t>
  </si>
  <si>
    <t>教育出版</t>
  </si>
  <si>
    <t>国語</t>
  </si>
  <si>
    <t>光村図書</t>
  </si>
  <si>
    <t>社会</t>
  </si>
  <si>
    <t>社会</t>
  </si>
  <si>
    <t>日本文教出版</t>
  </si>
  <si>
    <t>算数</t>
  </si>
  <si>
    <t>大日本図書</t>
  </si>
  <si>
    <t>啓林館</t>
  </si>
  <si>
    <t>日本文教出版</t>
  </si>
  <si>
    <t>理科</t>
  </si>
  <si>
    <t>音楽</t>
  </si>
  <si>
    <t>教育芸術社</t>
  </si>
  <si>
    <t>図画工作</t>
  </si>
  <si>
    <t>開隆堂</t>
  </si>
  <si>
    <t>保健</t>
  </si>
  <si>
    <t>光文書院</t>
  </si>
  <si>
    <t>学研教育みらい</t>
  </si>
  <si>
    <t>光文書院</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</si>
  <si>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</si>
  <si>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</si>
  <si>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</si>
  <si>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</si>
  <si>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</si>
  <si>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</si>
  <si>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</si>
  <si>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</si>
  <si>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</si>
  <si>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</si>
  <si>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</si>
  <si>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</si>
  <si>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</si>
  <si>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</si>
  <si>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</si>
  <si>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</si>
  <si>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</si>
  <si>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</si>
  <si>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</si>
  <si>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教育出版</t>
  </si>
  <si>
    <t>学校図書</t>
  </si>
  <si>
    <t>大日本図書</t>
  </si>
  <si>
    <t>教育芸術社</t>
  </si>
  <si>
    <t>日本文教出版</t>
  </si>
  <si>
    <t>三省堂</t>
  </si>
  <si>
    <t>光村図書</t>
  </si>
  <si>
    <t>光文書院</t>
  </si>
  <si>
    <t>学研教育みらい</t>
  </si>
  <si>
    <t>啓林館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</si>
</sst>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color theme="1"/>
      <name val="Calibri"/>
      <family val="3"/>
    </font>
    <font>
      <sz val="11"/>
      <color indexed="8"/>
      <name val="ＭＳ Ｐゴシック"/>
      <family val="3"/>
    </font>
    <font>
      <sz val="6"/>
      <name val="ＭＳ Ｐゴシック"/>
      <family val="3"/>
    </font>
    <font>
      <sz val="6"/>
      <name val="ヒラギノ角ゴ ProN W3"/>
      <family val="3"/>
    </font>
    <font>
      <sz val="8"/>
      <name val="ＭＳ 明朝"/>
      <family val="1"/>
    </font>
    <font>
      <sz val="7"/>
      <name val="ＭＳ Ｐ明朝"/>
      <family val="1"/>
    </font>
    <font>
      <sz val="6"/>
      <name val="ＭＳ Ｐ明朝"/>
      <family val="1"/>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11"/>
      <name val="ＭＳ ゴシック"/>
      <family val="3"/>
    </font>
    <font>
      <sz val="12"/>
      <name val="ＭＳ ゴシック"/>
      <family val="3"/>
    </font>
    <font>
      <sz val="9"/>
      <name val="ＭＳ 明朝"/>
      <family val="1"/>
    </font>
    <font>
      <sz val="8"/>
      <name val="ＭＳ ゴシック"/>
      <family val="3"/>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9"/>
      <color indexed="8"/>
      <name val="ＭＳ 明朝"/>
      <family val="1"/>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11"/>
      <name val="Cambria"/>
      <family val="3"/>
    </font>
    <font>
      <sz val="9"/>
      <color theme="1"/>
      <name val="ＭＳ 明朝"/>
      <family val="1"/>
    </font>
    <font>
      <sz val="11"/>
      <color theme="1"/>
      <name val="ＭＳ ゴシック"/>
      <family val="3"/>
    </font>
    <font>
      <sz val="7"/>
      <color theme="1"/>
      <name val="ＭＳ 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bottom style="hair"/>
    </border>
    <border>
      <left style="hair"/>
      <right style="hair"/>
      <top style="hair"/>
      <bottom style="thin"/>
    </border>
    <border>
      <left style="double"/>
      <right style="hair"/>
      <top style="hair"/>
      <bottom style="hair"/>
    </border>
    <border>
      <left style="thin"/>
      <right style="thin"/>
      <top/>
      <bottom style="hair"/>
    </border>
    <border>
      <left style="double"/>
      <right style="hair"/>
      <top/>
      <bottom style="hair"/>
    </border>
    <border>
      <left style="hair"/>
      <right style="double"/>
      <top/>
      <bottom style="hair"/>
    </border>
    <border>
      <left style="double"/>
      <right style="thin"/>
      <top/>
      <bottom style="hair"/>
    </border>
    <border>
      <left/>
      <right style="thin"/>
      <top/>
      <bottom style="hair"/>
    </border>
    <border>
      <left style="thin"/>
      <right style="thin"/>
      <top style="hair"/>
      <bottom style="hair"/>
    </border>
    <border>
      <left style="hair"/>
      <right style="double"/>
      <top style="hair"/>
      <bottom style="hair"/>
    </border>
    <border>
      <left/>
      <right style="hair"/>
      <top style="hair"/>
      <bottom style="hair"/>
    </border>
    <border>
      <left style="double"/>
      <right style="thin"/>
      <top style="hair"/>
      <bottom style="hair"/>
    </border>
    <border>
      <left/>
      <right style="thin"/>
      <top style="hair"/>
      <bottom style="hair"/>
    </border>
    <border>
      <left style="thin"/>
      <right style="thin"/>
      <top style="hair"/>
      <bottom style="thin"/>
    </border>
    <border>
      <left style="double"/>
      <right style="hair"/>
      <top style="hair"/>
      <bottom style="thin"/>
    </border>
    <border>
      <left style="hair"/>
      <right style="double"/>
      <top style="hair"/>
      <bottom style="thin"/>
    </border>
    <border>
      <left/>
      <right style="hair"/>
      <top style="hair"/>
      <bottom style="thin"/>
    </border>
    <border>
      <left style="double"/>
      <right style="thin"/>
      <top style="hair"/>
      <bottom style="thin"/>
    </border>
    <border>
      <left style="thin"/>
      <right style="hair"/>
      <top/>
      <bottom style="hair"/>
    </border>
    <border>
      <left style="thin"/>
      <right style="hair"/>
      <top style="hair"/>
      <bottom style="hair"/>
    </border>
    <border>
      <left style="thin"/>
      <right style="hair"/>
      <top style="hair"/>
      <bottom style="thin"/>
    </border>
    <border>
      <left/>
      <right style="hair"/>
      <top/>
      <bottom style="hair"/>
    </border>
    <border>
      <left style="hair"/>
      <right/>
      <top/>
      <bottom style="hair"/>
    </border>
    <border>
      <left style="hair"/>
      <right/>
      <top style="hair"/>
      <bottom style="hair"/>
    </border>
    <border>
      <left style="hair"/>
      <right/>
      <top style="hair"/>
      <bottom style="thin"/>
    </border>
    <border>
      <left style="hair"/>
      <right style="thin"/>
      <top style="hair"/>
      <bottom style="hair"/>
    </border>
    <border>
      <left style="hair"/>
      <right style="thin"/>
      <top style="hair"/>
      <bottom style="thin"/>
    </border>
    <border>
      <left style="hair"/>
      <right style="thin"/>
      <top/>
      <bottom style="hair"/>
    </border>
    <border>
      <left style="hair"/>
      <right style="hair"/>
      <top style="hair"/>
      <bottom/>
    </border>
    <border>
      <left style="thin"/>
      <right style="hair"/>
      <top style="hair"/>
      <bottom/>
    </border>
    <border>
      <left style="double"/>
      <right style="hair"/>
      <top style="hair"/>
      <bottom/>
    </border>
    <border>
      <left style="hair"/>
      <right style="double"/>
      <top style="hair"/>
      <bottom/>
    </border>
    <border>
      <left style="thin"/>
      <right style="thin"/>
      <top style="hair"/>
      <bottom/>
    </border>
    <border>
      <left/>
      <right style="hair"/>
      <top style="hair"/>
      <bottom/>
    </border>
    <border>
      <left style="hair"/>
      <right/>
      <top style="hair"/>
      <bottom/>
    </border>
    <border>
      <left style="thin"/>
      <right style="double"/>
      <top style="thin"/>
      <bottom style="hair"/>
    </border>
    <border>
      <left/>
      <right/>
      <top/>
      <bottom style="thin"/>
    </border>
    <border>
      <left style="hair"/>
      <right style="thin"/>
      <top style="hair"/>
      <bottom/>
    </border>
    <border>
      <left style="thin"/>
      <right style="hair"/>
      <top style="thin"/>
      <bottom style="hair"/>
    </border>
    <border>
      <left style="hair"/>
      <right style="thin"/>
      <top style="thin"/>
      <bottom style="hair"/>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style="hair"/>
      <right style="double"/>
      <top/>
      <bottom style="thin"/>
    </border>
    <border>
      <left style="thin"/>
      <right style="double"/>
      <top style="hair"/>
      <bottom style="hair"/>
    </border>
    <border>
      <left style="thin"/>
      <right style="double"/>
      <top style="hair"/>
      <bottom style="thin"/>
    </border>
    <border>
      <left style="double"/>
      <right style="thin"/>
      <top style="thin"/>
      <bottom/>
    </border>
    <border>
      <left style="double"/>
      <right style="thin"/>
      <top/>
      <bottom/>
    </border>
    <border>
      <left style="double"/>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double"/>
      <right/>
      <top style="thin"/>
      <bottom style="hair"/>
    </border>
    <border>
      <left/>
      <right style="double"/>
      <top style="thin"/>
      <bottom style="hair"/>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right style="hair"/>
      <top/>
      <bottom style="thin"/>
    </border>
    <border>
      <left/>
      <right/>
      <top style="hair"/>
      <bottom style="hair"/>
    </border>
    <border>
      <left style="thin"/>
      <right/>
      <top style="hair"/>
      <bottom style="hair"/>
    </border>
    <border>
      <left/>
      <right style="hair"/>
      <top/>
      <bottom/>
    </border>
    <border>
      <left style="hair"/>
      <right/>
      <top/>
      <bottom/>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8" fillId="17" borderId="0" applyNumberFormat="0" applyBorder="0" applyAlignment="0" applyProtection="0"/>
    <xf numFmtId="0" fontId="36" fillId="27" borderId="0" applyNumberFormat="0" applyBorder="0" applyAlignment="0" applyProtection="0"/>
    <xf numFmtId="0" fontId="8" fillId="19"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8"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8" fillId="35" borderId="0" applyNumberFormat="0" applyBorder="0" applyAlignment="0" applyProtection="0"/>
    <xf numFmtId="0" fontId="36"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0" fontId="8" fillId="39" borderId="0" applyNumberFormat="0" applyBorder="0" applyAlignment="0" applyProtection="0"/>
    <xf numFmtId="0" fontId="36" fillId="40" borderId="0" applyNumberFormat="0" applyBorder="0" applyAlignment="0" applyProtection="0"/>
    <xf numFmtId="0" fontId="8" fillId="29" borderId="0" applyNumberFormat="0" applyBorder="0" applyAlignment="0" applyProtection="0"/>
    <xf numFmtId="0" fontId="36" fillId="41" borderId="0" applyNumberFormat="0" applyBorder="0" applyAlignment="0" applyProtection="0"/>
    <xf numFmtId="0" fontId="8" fillId="31" borderId="0" applyNumberFormat="0" applyBorder="0" applyAlignment="0" applyProtection="0"/>
    <xf numFmtId="0" fontId="36"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44" borderId="1" applyNumberFormat="0" applyAlignment="0" applyProtection="0"/>
    <xf numFmtId="0" fontId="10" fillId="45" borderId="2" applyNumberFormat="0" applyAlignment="0" applyProtection="0"/>
    <xf numFmtId="0" fontId="39" fillId="46" borderId="0" applyNumberFormat="0" applyBorder="0" applyAlignment="0" applyProtection="0"/>
    <xf numFmtId="0" fontId="11"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40" fillId="0" borderId="5" applyNumberFormat="0" applyFill="0" applyAlignment="0" applyProtection="0"/>
    <xf numFmtId="0" fontId="12" fillId="0" borderId="6" applyNumberFormat="0" applyFill="0" applyAlignment="0" applyProtection="0"/>
    <xf numFmtId="0" fontId="41" fillId="50" borderId="0" applyNumberFormat="0" applyBorder="0" applyAlignment="0" applyProtection="0"/>
    <xf numFmtId="0" fontId="13" fillId="5" borderId="0" applyNumberFormat="0" applyBorder="0" applyAlignment="0" applyProtection="0"/>
    <xf numFmtId="0" fontId="42" fillId="51" borderId="7" applyNumberFormat="0" applyAlignment="0" applyProtection="0"/>
    <xf numFmtId="0" fontId="14" fillId="52" borderId="8" applyNumberFormat="0" applyAlignment="0" applyProtection="0"/>
    <xf numFmtId="0" fontId="43"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9" applyNumberFormat="0" applyFill="0" applyAlignment="0" applyProtection="0"/>
    <xf numFmtId="0" fontId="16" fillId="0" borderId="10" applyNumberFormat="0" applyFill="0" applyAlignment="0" applyProtection="0"/>
    <xf numFmtId="0" fontId="45" fillId="0" borderId="11" applyNumberFormat="0" applyFill="0" applyAlignment="0" applyProtection="0"/>
    <xf numFmtId="0" fontId="17" fillId="0" borderId="12" applyNumberFormat="0" applyFill="0" applyAlignment="0" applyProtection="0"/>
    <xf numFmtId="0" fontId="46" fillId="0" borderId="13" applyNumberFormat="0" applyFill="0" applyAlignment="0" applyProtection="0"/>
    <xf numFmtId="0" fontId="18" fillId="0" borderId="14"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0" borderId="15" applyNumberFormat="0" applyFill="0" applyAlignment="0" applyProtection="0"/>
    <xf numFmtId="0" fontId="19" fillId="0" borderId="16" applyNumberFormat="0" applyFill="0" applyAlignment="0" applyProtection="0"/>
    <xf numFmtId="0" fontId="48" fillId="51" borderId="17" applyNumberFormat="0" applyAlignment="0" applyProtection="0"/>
    <xf numFmtId="0" fontId="20" fillId="52" borderId="18" applyNumberFormat="0" applyAlignment="0" applyProtection="0"/>
    <xf numFmtId="0" fontId="49" fillId="0" borderId="0" applyNumberFormat="0" applyFill="0" applyBorder="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22" fillId="13" borderId="8" applyNumberFormat="0" applyAlignment="0" applyProtection="0"/>
    <xf numFmtId="0" fontId="23" fillId="0" borderId="0">
      <alignment/>
      <protection/>
    </xf>
    <xf numFmtId="0" fontId="0" fillId="0" borderId="0">
      <alignment vertical="center"/>
      <protection/>
    </xf>
    <xf numFmtId="0" fontId="51" fillId="54" borderId="0" applyNumberFormat="0" applyBorder="0" applyAlignment="0" applyProtection="0"/>
    <xf numFmtId="0" fontId="24" fillId="7" borderId="0" applyNumberFormat="0" applyBorder="0" applyAlignment="0" applyProtection="0"/>
  </cellStyleXfs>
  <cellXfs count="146">
    <xf numFmtId="0" fontId="0"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wrapText="1"/>
    </xf>
    <xf numFmtId="0" fontId="6" fillId="0" borderId="19" xfId="0"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0" fontId="7" fillId="0" borderId="19" xfId="0" applyFont="1" applyFill="1" applyBorder="1" applyAlignment="1">
      <alignment horizontal="center" vertical="center" wrapText="1"/>
    </xf>
    <xf numFmtId="0" fontId="6" fillId="0" borderId="21" xfId="0" applyFont="1" applyFill="1" applyBorder="1" applyAlignment="1" applyProtection="1">
      <alignment horizontal="left" vertical="top" wrapText="1"/>
      <protection locked="0"/>
    </xf>
    <xf numFmtId="0" fontId="6" fillId="0" borderId="19" xfId="0" applyFont="1" applyFill="1" applyBorder="1" applyAlignment="1" applyProtection="1">
      <alignment vertical="top" wrapText="1"/>
      <protection/>
    </xf>
    <xf numFmtId="0" fontId="7" fillId="0" borderId="2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vertical="center" wrapText="1"/>
    </xf>
    <xf numFmtId="0" fontId="6" fillId="0" borderId="24"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xf>
    <xf numFmtId="0" fontId="6" fillId="0" borderId="26"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7" fillId="0" borderId="28" xfId="0" applyFont="1" applyFill="1" applyBorder="1" applyAlignment="1">
      <alignment vertical="center" wrapText="1"/>
    </xf>
    <xf numFmtId="0" fontId="6" fillId="0" borderId="22" xfId="0" applyFont="1" applyFill="1" applyBorder="1" applyAlignment="1" applyProtection="1">
      <alignment vertical="top" wrapText="1"/>
      <protection locked="0"/>
    </xf>
    <xf numFmtId="0" fontId="6" fillId="0" borderId="29" xfId="0" applyFont="1" applyFill="1" applyBorder="1" applyAlignment="1" applyProtection="1">
      <alignment vertical="top" wrapText="1"/>
      <protection locked="0"/>
    </xf>
    <xf numFmtId="0" fontId="6" fillId="0" borderId="30" xfId="0" applyFont="1" applyFill="1" applyBorder="1" applyAlignment="1" applyProtection="1">
      <alignment vertical="top" wrapText="1"/>
      <protection/>
    </xf>
    <xf numFmtId="0" fontId="6" fillId="0" borderId="19"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7" fillId="0" borderId="33" xfId="0" applyFont="1" applyFill="1" applyBorder="1" applyAlignment="1">
      <alignment vertical="center" wrapText="1"/>
    </xf>
    <xf numFmtId="0" fontId="6" fillId="0" borderId="34" xfId="0" applyFont="1" applyFill="1" applyBorder="1" applyAlignment="1" applyProtection="1">
      <alignment vertical="top" wrapText="1"/>
      <protection locked="0"/>
    </xf>
    <xf numFmtId="0" fontId="6" fillId="0" borderId="35" xfId="0" applyFont="1" applyFill="1" applyBorder="1" applyAlignment="1" applyProtection="1">
      <alignment vertical="top" wrapText="1"/>
      <protection locked="0"/>
    </xf>
    <xf numFmtId="0" fontId="6" fillId="0" borderId="36" xfId="0" applyFont="1" applyFill="1" applyBorder="1" applyAlignment="1" applyProtection="1">
      <alignment vertical="top" wrapText="1"/>
      <protection/>
    </xf>
    <xf numFmtId="0" fontId="6" fillId="0" borderId="21" xfId="0" applyFont="1" applyFill="1" applyBorder="1" applyAlignment="1" applyProtection="1">
      <alignment vertical="top" wrapText="1"/>
      <protection/>
    </xf>
    <xf numFmtId="0" fontId="6" fillId="0" borderId="37"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5" fillId="0" borderId="0" xfId="0" applyFont="1" applyFill="1" applyAlignment="1">
      <alignment horizontal="center" vertical="center"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40" xfId="0" applyFont="1" applyFill="1" applyBorder="1" applyAlignment="1">
      <alignment vertical="top" wrapText="1"/>
    </xf>
    <xf numFmtId="0" fontId="7" fillId="0" borderId="36" xfId="0" applyFont="1" applyFill="1" applyBorder="1" applyAlignment="1">
      <alignment horizontal="center" vertical="center" wrapText="1"/>
    </xf>
    <xf numFmtId="0" fontId="6" fillId="0" borderId="41" xfId="0" applyFont="1" applyFill="1" applyBorder="1" applyAlignment="1" applyProtection="1">
      <alignment vertical="top" wrapText="1"/>
      <protection/>
    </xf>
    <xf numFmtId="0" fontId="6" fillId="0" borderId="42" xfId="0" applyFont="1" applyFill="1" applyBorder="1" applyAlignment="1" applyProtection="1">
      <alignment horizontal="left" vertical="top" wrapText="1"/>
      <protection locked="0"/>
    </xf>
    <xf numFmtId="0" fontId="6" fillId="0" borderId="43" xfId="0" applyFont="1" applyFill="1" applyBorder="1" applyAlignment="1" applyProtection="1">
      <alignment horizontal="left" vertical="top" wrapText="1"/>
      <protection locked="0"/>
    </xf>
    <xf numFmtId="0" fontId="6" fillId="0" borderId="44" xfId="0" applyFont="1" applyFill="1" applyBorder="1" applyAlignment="1" applyProtection="1">
      <alignment horizontal="left" vertical="top" wrapText="1"/>
      <protection locked="0"/>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176" fontId="6" fillId="0" borderId="24" xfId="0" applyNumberFormat="1" applyFont="1" applyFill="1" applyBorder="1" applyAlignment="1" applyProtection="1">
      <alignment vertical="top" wrapText="1"/>
      <protection hidden="1"/>
    </xf>
    <xf numFmtId="176" fontId="6" fillId="0" borderId="20" xfId="0" applyNumberFormat="1" applyFont="1" applyFill="1" applyBorder="1" applyAlignment="1" applyProtection="1">
      <alignment vertical="top" wrapText="1"/>
      <protection hidden="1"/>
    </xf>
    <xf numFmtId="176" fontId="6" fillId="0" borderId="47" xfId="0" applyNumberFormat="1" applyFont="1" applyFill="1" applyBorder="1" applyAlignment="1" applyProtection="1">
      <alignment horizontal="left" vertical="top" wrapText="1"/>
      <protection hidden="1"/>
    </xf>
    <xf numFmtId="176" fontId="6" fillId="0" borderId="22" xfId="0" applyNumberFormat="1" applyFont="1" applyFill="1" applyBorder="1" applyAlignment="1" applyProtection="1">
      <alignment vertical="top" wrapText="1"/>
      <protection hidden="1"/>
    </xf>
    <xf numFmtId="176" fontId="6" fillId="0" borderId="19" xfId="0" applyNumberFormat="1" applyFont="1" applyFill="1" applyBorder="1" applyAlignment="1" applyProtection="1">
      <alignment vertical="top" wrapText="1"/>
      <protection hidden="1"/>
    </xf>
    <xf numFmtId="176" fontId="6" fillId="0" borderId="19" xfId="0" applyNumberFormat="1" applyFont="1" applyFill="1" applyBorder="1" applyAlignment="1" applyProtection="1">
      <alignment horizontal="left" vertical="top" wrapText="1"/>
      <protection hidden="1"/>
    </xf>
    <xf numFmtId="176" fontId="6" fillId="0" borderId="45" xfId="0" applyNumberFormat="1" applyFont="1" applyFill="1" applyBorder="1" applyAlignment="1" applyProtection="1">
      <alignment horizontal="left" vertical="top" wrapText="1"/>
      <protection hidden="1"/>
    </xf>
    <xf numFmtId="176" fontId="6" fillId="0" borderId="34" xfId="0" applyNumberFormat="1" applyFont="1" applyFill="1" applyBorder="1" applyAlignment="1" applyProtection="1">
      <alignment vertical="top" wrapText="1"/>
      <protection hidden="1"/>
    </xf>
    <xf numFmtId="176" fontId="6" fillId="0" borderId="21" xfId="0" applyNumberFormat="1" applyFont="1" applyFill="1" applyBorder="1" applyAlignment="1" applyProtection="1">
      <alignment vertical="top" wrapText="1"/>
      <protection hidden="1"/>
    </xf>
    <xf numFmtId="176" fontId="6" fillId="0" borderId="46" xfId="0" applyNumberFormat="1" applyFont="1" applyFill="1" applyBorder="1" applyAlignment="1" applyProtection="1">
      <alignment horizontal="left" vertical="top" wrapText="1"/>
      <protection hidden="1"/>
    </xf>
    <xf numFmtId="0" fontId="7" fillId="0" borderId="34"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left" vertical="top" wrapText="1"/>
      <protection locked="0"/>
    </xf>
    <xf numFmtId="0" fontId="6" fillId="0" borderId="49" xfId="0" applyFont="1" applyFill="1" applyBorder="1" applyAlignment="1">
      <alignment vertical="top" wrapText="1"/>
    </xf>
    <xf numFmtId="0" fontId="6" fillId="0" borderId="50" xfId="0" applyFont="1" applyFill="1" applyBorder="1" applyAlignment="1" applyProtection="1">
      <alignment vertical="top" wrapText="1"/>
      <protection locked="0"/>
    </xf>
    <xf numFmtId="0" fontId="6" fillId="0" borderId="51" xfId="0" applyFont="1" applyFill="1" applyBorder="1" applyAlignment="1" applyProtection="1">
      <alignment vertical="top" wrapText="1"/>
      <protection locked="0"/>
    </xf>
    <xf numFmtId="176" fontId="6" fillId="0" borderId="29" xfId="0" applyNumberFormat="1" applyFont="1" applyFill="1" applyBorder="1" applyAlignment="1" applyProtection="1">
      <alignment horizontal="left" vertical="top" wrapText="1"/>
      <protection hidden="1"/>
    </xf>
    <xf numFmtId="0" fontId="6" fillId="0" borderId="39" xfId="0" applyFont="1" applyFill="1" applyBorder="1" applyAlignment="1" applyProtection="1">
      <alignment vertical="top" wrapText="1"/>
      <protection/>
    </xf>
    <xf numFmtId="0" fontId="26" fillId="0" borderId="0" xfId="0" applyFont="1" applyFill="1" applyAlignment="1">
      <alignment vertical="center"/>
    </xf>
    <xf numFmtId="0" fontId="27" fillId="0" borderId="0" xfId="0" applyFont="1" applyFill="1" applyAlignment="1">
      <alignment vertical="center"/>
    </xf>
    <xf numFmtId="0" fontId="4"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vertical="center" shrinkToFit="1"/>
    </xf>
    <xf numFmtId="0" fontId="27" fillId="0" borderId="0" xfId="0" applyFont="1" applyFill="1" applyAlignment="1">
      <alignment horizontal="center" vertical="center" shrinkToFit="1"/>
    </xf>
    <xf numFmtId="0" fontId="7" fillId="0" borderId="52" xfId="0" applyFont="1" applyFill="1" applyBorder="1" applyAlignment="1">
      <alignment vertical="center" wrapText="1"/>
    </xf>
    <xf numFmtId="0" fontId="6" fillId="0" borderId="53" xfId="0" applyFont="1" applyFill="1" applyBorder="1" applyAlignment="1" applyProtection="1">
      <alignment vertical="top" wrapText="1"/>
      <protection/>
    </xf>
    <xf numFmtId="0" fontId="6" fillId="0" borderId="48" xfId="0" applyFont="1" applyFill="1" applyBorder="1" applyAlignment="1" applyProtection="1">
      <alignment vertical="top" wrapText="1"/>
      <protection/>
    </xf>
    <xf numFmtId="0" fontId="6" fillId="0" borderId="54" xfId="0" applyFont="1" applyFill="1" applyBorder="1" applyAlignment="1" applyProtection="1">
      <alignment horizontal="left" vertical="top" wrapText="1"/>
      <protection locked="0"/>
    </xf>
    <xf numFmtId="0" fontId="25" fillId="0" borderId="0" xfId="0" applyFont="1" applyFill="1" applyBorder="1" applyAlignment="1">
      <alignment vertical="center"/>
    </xf>
    <xf numFmtId="0" fontId="7" fillId="0" borderId="55" xfId="0" applyFont="1" applyFill="1" applyBorder="1" applyAlignment="1">
      <alignment horizontal="center" vertical="center" wrapText="1"/>
    </xf>
    <xf numFmtId="0" fontId="52" fillId="0" borderId="56" xfId="0" applyFont="1" applyFill="1" applyBorder="1" applyAlignment="1">
      <alignment vertical="center"/>
    </xf>
    <xf numFmtId="0" fontId="53" fillId="0" borderId="56" xfId="0" applyFont="1" applyFill="1" applyBorder="1" applyAlignment="1">
      <alignment vertical="center"/>
    </xf>
    <xf numFmtId="0" fontId="6" fillId="0" borderId="45"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57"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top" wrapText="1"/>
      <protection locked="0"/>
    </xf>
    <xf numFmtId="0" fontId="54" fillId="0" borderId="0" xfId="0" applyFont="1" applyFill="1" applyAlignment="1">
      <alignment vertical="center"/>
    </xf>
    <xf numFmtId="0" fontId="28" fillId="0" borderId="58" xfId="0" applyFont="1" applyBorder="1" applyAlignment="1" applyProtection="1">
      <alignment vertical="center" wrapText="1"/>
      <protection locked="0"/>
    </xf>
    <xf numFmtId="0" fontId="28" fillId="0" borderId="59" xfId="0" applyFont="1" applyBorder="1" applyAlignment="1" applyProtection="1">
      <alignment vertical="center" wrapText="1"/>
      <protection locked="0"/>
    </xf>
    <xf numFmtId="0" fontId="28" fillId="0" borderId="39" xfId="0" applyFont="1" applyBorder="1" applyAlignment="1" applyProtection="1">
      <alignment vertical="center" wrapText="1"/>
      <protection locked="0"/>
    </xf>
    <xf numFmtId="0" fontId="28" fillId="0" borderId="45" xfId="0" applyFont="1" applyBorder="1" applyAlignment="1" applyProtection="1">
      <alignment vertical="center" wrapText="1"/>
      <protection locked="0"/>
    </xf>
    <xf numFmtId="0" fontId="28" fillId="0" borderId="45" xfId="0" applyFont="1" applyFill="1" applyBorder="1" applyAlignment="1" applyProtection="1">
      <alignment vertical="center" wrapText="1"/>
      <protection locked="0"/>
    </xf>
    <xf numFmtId="0" fontId="28" fillId="0" borderId="39" xfId="0" applyFont="1" applyBorder="1" applyAlignment="1">
      <alignment vertical="center"/>
    </xf>
    <xf numFmtId="0" fontId="28" fillId="0" borderId="45" xfId="0" applyFont="1" applyBorder="1" applyAlignment="1">
      <alignment vertical="center"/>
    </xf>
    <xf numFmtId="0" fontId="28" fillId="0" borderId="40" xfId="0" applyFont="1" applyBorder="1" applyAlignment="1">
      <alignment vertical="center"/>
    </xf>
    <xf numFmtId="0" fontId="28" fillId="0" borderId="46" xfId="0" applyFont="1" applyBorder="1" applyAlignment="1">
      <alignment vertical="center"/>
    </xf>
    <xf numFmtId="0" fontId="30" fillId="0" borderId="0" xfId="0" applyFont="1" applyFill="1" applyBorder="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60" xfId="0" applyFont="1" applyBorder="1" applyAlignment="1">
      <alignment vertical="center"/>
    </xf>
    <xf numFmtId="0" fontId="55" fillId="0" borderId="61" xfId="0" applyFont="1" applyBorder="1" applyAlignment="1">
      <alignment vertical="center"/>
    </xf>
    <xf numFmtId="0" fontId="55" fillId="0" borderId="62" xfId="0" applyFont="1" applyBorder="1" applyAlignment="1">
      <alignment vertical="center"/>
    </xf>
    <xf numFmtId="0" fontId="56" fillId="0" borderId="63" xfId="0" applyFont="1" applyBorder="1" applyAlignment="1">
      <alignment horizontal="center" vertical="center"/>
    </xf>
    <xf numFmtId="0" fontId="56" fillId="0" borderId="64" xfId="0" applyFont="1" applyBorder="1" applyAlignment="1">
      <alignment horizontal="center" vertical="center"/>
    </xf>
    <xf numFmtId="0" fontId="56" fillId="0" borderId="65" xfId="0" applyFont="1" applyBorder="1" applyAlignment="1">
      <alignment horizontal="center" vertical="center"/>
    </xf>
    <xf numFmtId="0" fontId="56" fillId="0" borderId="66" xfId="0" applyFont="1" applyBorder="1" applyAlignment="1">
      <alignment horizontal="center" vertical="center"/>
    </xf>
    <xf numFmtId="0" fontId="56" fillId="0" borderId="67" xfId="0" applyFont="1" applyBorder="1" applyAlignment="1">
      <alignment horizontal="center" vertical="center"/>
    </xf>
    <xf numFmtId="0" fontId="56" fillId="0" borderId="0" xfId="0" applyFont="1" applyAlignment="1">
      <alignment horizontal="center" vertical="center"/>
    </xf>
    <xf numFmtId="0" fontId="56" fillId="0" borderId="68" xfId="0" applyFont="1" applyBorder="1" applyAlignment="1">
      <alignment horizontal="center" vertical="center"/>
    </xf>
    <xf numFmtId="0" fontId="7" fillId="0" borderId="5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pplyAlignment="1">
      <alignment vertical="center" shrinkToFi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28" fillId="0" borderId="75" xfId="0" applyFont="1" applyFill="1" applyBorder="1" applyAlignment="1">
      <alignment horizontal="center" vertical="center" shrinkToFit="1"/>
    </xf>
    <xf numFmtId="0" fontId="28" fillId="0" borderId="76" xfId="0" applyFont="1" applyFill="1" applyBorder="1" applyAlignment="1">
      <alignment horizontal="center" vertical="center" shrinkToFit="1"/>
    </xf>
    <xf numFmtId="0" fontId="28" fillId="0" borderId="77" xfId="0" applyFont="1" applyFill="1" applyBorder="1" applyAlignment="1">
      <alignment horizontal="center" vertical="center" shrinkToFit="1"/>
    </xf>
    <xf numFmtId="0" fontId="28" fillId="0" borderId="78" xfId="0" applyFont="1" applyFill="1" applyBorder="1" applyAlignment="1">
      <alignment horizontal="center" vertical="center" shrinkToFit="1"/>
    </xf>
    <xf numFmtId="0" fontId="28" fillId="0" borderId="79" xfId="0" applyFont="1" applyFill="1" applyBorder="1" applyAlignment="1">
      <alignment horizontal="center" vertical="center" shrinkToFit="1"/>
    </xf>
    <xf numFmtId="0" fontId="28" fillId="0" borderId="80" xfId="0" applyFont="1" applyFill="1" applyBorder="1" applyAlignment="1">
      <alignment horizontal="center" vertical="center" shrinkToFit="1"/>
    </xf>
    <xf numFmtId="0" fontId="28" fillId="0" borderId="81"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83" xfId="0" applyFont="1" applyFill="1" applyBorder="1" applyAlignment="1">
      <alignment horizontal="center" vertical="center"/>
    </xf>
    <xf numFmtId="0" fontId="7" fillId="0" borderId="60"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28" fillId="0" borderId="60"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6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76"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left" vertical="top" wrapText="1"/>
    </xf>
    <xf numFmtId="0" fontId="7" fillId="0" borderId="87" xfId="0" applyFont="1" applyFill="1" applyBorder="1" applyAlignment="1">
      <alignment horizontal="left" vertical="top" wrapText="1"/>
    </xf>
    <xf numFmtId="0" fontId="7" fillId="0" borderId="88" xfId="0" applyFont="1" applyFill="1" applyBorder="1" applyAlignment="1">
      <alignment horizontal="left" vertical="top" wrapText="1"/>
    </xf>
    <xf numFmtId="0" fontId="7" fillId="0" borderId="53"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93" xfId="0" applyFont="1" applyFill="1" applyBorder="1" applyAlignment="1">
      <alignment horizontal="center" vertical="center"/>
    </xf>
    <xf numFmtId="0" fontId="28" fillId="0" borderId="92" xfId="0" applyFont="1" applyFill="1" applyBorder="1" applyAlignment="1">
      <alignment vertical="center" shrinkToFit="1"/>
    </xf>
    <xf numFmtId="0" fontId="28" fillId="0" borderId="93" xfId="0" applyFont="1" applyFill="1" applyBorder="1" applyAlignment="1">
      <alignment vertical="center" shrinkToFit="1"/>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0</xdr:row>
      <xdr:rowOff>0</xdr:rowOff>
    </xdr:from>
    <xdr:to>
      <xdr:col>13</xdr:col>
      <xdr:colOff>771525</xdr:colOff>
      <xdr:row>0</xdr:row>
      <xdr:rowOff>180975</xdr:rowOff>
    </xdr:to>
    <xdr:pic>
      <xdr:nvPicPr>
        <xdr:cNvPr id="1" name="Picture 1" descr="kabu_B"/>
        <xdr:cNvPicPr preferRelativeResize="1">
          <a:picLocks noChangeAspect="1"/>
        </xdr:cNvPicPr>
      </xdr:nvPicPr>
      <xdr:blipFill>
        <a:blip r:embed="rId1"/>
        <a:stretch>
          <a:fillRect/>
        </a:stretch>
      </xdr:blipFill>
      <xdr:spPr>
        <a:xfrm>
          <a:off x="12087225" y="0"/>
          <a:ext cx="12382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714375</xdr:colOff>
      <xdr:row>0</xdr:row>
      <xdr:rowOff>0</xdr:rowOff>
    </xdr:from>
    <xdr:to>
      <xdr:col>29</xdr:col>
      <xdr:colOff>981075</xdr:colOff>
      <xdr:row>1</xdr:row>
      <xdr:rowOff>0</xdr:rowOff>
    </xdr:to>
    <xdr:pic>
      <xdr:nvPicPr>
        <xdr:cNvPr id="1" name="Picture 1" descr="kabu_B"/>
        <xdr:cNvPicPr preferRelativeResize="1">
          <a:picLocks noChangeAspect="1"/>
        </xdr:cNvPicPr>
      </xdr:nvPicPr>
      <xdr:blipFill>
        <a:blip r:embed="rId1"/>
        <a:stretch>
          <a:fillRect/>
        </a:stretch>
      </xdr:blipFill>
      <xdr:spPr>
        <a:xfrm>
          <a:off x="28317825" y="0"/>
          <a:ext cx="12477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8"/>
  <sheetViews>
    <sheetView tabSelected="1" view="pageBreakPreview" zoomScaleSheetLayoutView="100" zoomScalePageLayoutView="0" workbookViewId="0" topLeftCell="A1">
      <selection activeCell="A1" sqref="A1"/>
    </sheetView>
  </sheetViews>
  <sheetFormatPr defaultColWidth="9.00390625" defaultRowHeight="15"/>
  <cols>
    <col min="1" max="1" width="16.7109375" style="65" customWidth="1"/>
    <col min="2" max="2" width="16.7109375" style="61" customWidth="1"/>
    <col min="3" max="4" width="12.7109375" style="61" customWidth="1"/>
    <col min="5" max="12" width="14.7109375" style="61" customWidth="1"/>
    <col min="13" max="14" width="11.7109375" style="61" customWidth="1"/>
    <col min="15" max="16384" width="9.00390625" style="61" customWidth="1"/>
  </cols>
  <sheetData>
    <row r="1" spans="1:6" ht="14.25">
      <c r="A1" s="73" t="s">
        <v>280</v>
      </c>
      <c r="B1" s="72"/>
      <c r="C1" s="72"/>
      <c r="D1" s="72"/>
      <c r="E1" s="60"/>
      <c r="F1" s="60"/>
    </row>
    <row r="2" spans="1:10" s="1" customFormat="1" ht="9">
      <c r="A2" s="122" t="s">
        <v>1</v>
      </c>
      <c r="B2" s="116" t="s">
        <v>0</v>
      </c>
      <c r="C2" s="117"/>
      <c r="D2" s="118"/>
      <c r="E2" s="62"/>
      <c r="F2" s="62"/>
      <c r="H2" s="63"/>
      <c r="I2" s="103"/>
      <c r="J2" s="103"/>
    </row>
    <row r="3" spans="1:10" s="1" customFormat="1" ht="13.5" customHeight="1">
      <c r="A3" s="123"/>
      <c r="B3" s="110" t="s">
        <v>14</v>
      </c>
      <c r="C3" s="111"/>
      <c r="D3" s="112"/>
      <c r="H3" s="64"/>
      <c r="I3" s="104"/>
      <c r="J3" s="104"/>
    </row>
    <row r="4" spans="1:10" s="1" customFormat="1" ht="13.5" customHeight="1">
      <c r="A4" s="124"/>
      <c r="B4" s="113" t="s">
        <v>15</v>
      </c>
      <c r="C4" s="114"/>
      <c r="D4" s="115"/>
      <c r="H4" s="64"/>
      <c r="I4" s="104"/>
      <c r="J4" s="104"/>
    </row>
    <row r="5" ht="5.25" customHeight="1"/>
    <row r="6" spans="1:14" s="30" customFormat="1" ht="19.5" customHeight="1">
      <c r="A6" s="130" t="s">
        <v>29</v>
      </c>
      <c r="B6" s="71" t="s">
        <v>8</v>
      </c>
      <c r="C6" s="128" t="s">
        <v>4</v>
      </c>
      <c r="D6" s="129"/>
      <c r="E6" s="125" t="s">
        <v>168</v>
      </c>
      <c r="F6" s="126"/>
      <c r="G6" s="126"/>
      <c r="H6" s="126"/>
      <c r="I6" s="126"/>
      <c r="J6" s="126"/>
      <c r="K6" s="126"/>
      <c r="L6" s="127"/>
      <c r="M6" s="107" t="s">
        <v>12</v>
      </c>
      <c r="N6" s="119" t="s">
        <v>165</v>
      </c>
    </row>
    <row r="7" spans="1:14" s="30" customFormat="1" ht="19.5" customHeight="1">
      <c r="A7" s="131"/>
      <c r="B7" s="105" t="s">
        <v>5</v>
      </c>
      <c r="C7" s="133" t="s">
        <v>11</v>
      </c>
      <c r="D7" s="101" t="s">
        <v>13</v>
      </c>
      <c r="E7" s="8" t="s">
        <v>30</v>
      </c>
      <c r="F7" s="5" t="s">
        <v>27</v>
      </c>
      <c r="G7" s="5" t="s">
        <v>2</v>
      </c>
      <c r="H7" s="5" t="s">
        <v>7</v>
      </c>
      <c r="I7" s="5" t="s">
        <v>3</v>
      </c>
      <c r="J7" s="5" t="s">
        <v>10</v>
      </c>
      <c r="K7" s="5" t="s">
        <v>6</v>
      </c>
      <c r="L7" s="39" t="s">
        <v>43</v>
      </c>
      <c r="M7" s="108"/>
      <c r="N7" s="120"/>
    </row>
    <row r="8" spans="1:14" s="30" customFormat="1" ht="19.5" customHeight="1">
      <c r="A8" s="132"/>
      <c r="B8" s="106"/>
      <c r="C8" s="134"/>
      <c r="D8" s="102"/>
      <c r="E8" s="51" t="s">
        <v>289</v>
      </c>
      <c r="F8" s="52" t="s">
        <v>284</v>
      </c>
      <c r="G8" s="52" t="s">
        <v>284</v>
      </c>
      <c r="H8" s="52" t="s">
        <v>294</v>
      </c>
      <c r="I8" s="52" t="s">
        <v>258</v>
      </c>
      <c r="J8" s="52" t="s">
        <v>259</v>
      </c>
      <c r="K8" s="52" t="s">
        <v>305</v>
      </c>
      <c r="L8" s="53" t="s">
        <v>303</v>
      </c>
      <c r="M8" s="109"/>
      <c r="N8" s="121"/>
    </row>
    <row r="9" spans="1:14" s="2" customFormat="1" ht="57" customHeight="1">
      <c r="A9" s="16" t="s">
        <v>238</v>
      </c>
      <c r="B9" s="32" t="s">
        <v>260</v>
      </c>
      <c r="C9" s="17"/>
      <c r="D9" s="18"/>
      <c r="E9" s="41" t="str">
        <f>HLOOKUP(E8,国語,2,FALSE)</f>
        <v>●モチモチの木/3月</v>
      </c>
      <c r="F9" s="42">
        <f>HLOOKUP(F8,社会,2,FALSE)</f>
        <v>0</v>
      </c>
      <c r="G9" s="42">
        <f>HLOOKUP(G8,算数,2,FALSE)</f>
        <v>0</v>
      </c>
      <c r="H9" s="42" t="str">
        <f>HLOOKUP(H8,理科,2,FALSE)</f>
        <v>●ものの重さをしらべよう/11月
●豆電球にあかりをつけよう/1月
●じしゃくのふしぎをしらべよう/2月</v>
      </c>
      <c r="I9" s="42">
        <f>HLOOKUP(I8,音楽,2,FALSE)</f>
        <v>0</v>
      </c>
      <c r="J9" s="42">
        <f>HLOOKUP(J8,図画工作,2,FALSE)</f>
        <v>0</v>
      </c>
      <c r="K9" s="3"/>
      <c r="L9" s="43">
        <f>HLOOKUP(L8,保健,2,FALSE)</f>
        <v>0</v>
      </c>
      <c r="M9" s="14"/>
      <c r="N9" s="15"/>
    </row>
    <row r="10" spans="1:14" s="2" customFormat="1" ht="45.75" customHeight="1">
      <c r="A10" s="16" t="s">
        <v>239</v>
      </c>
      <c r="B10" s="32" t="s">
        <v>261</v>
      </c>
      <c r="C10" s="17"/>
      <c r="D10" s="18"/>
      <c r="E10" s="44" t="str">
        <f>HLOOKUP(E8,国語,3,FALSE)</f>
        <v>●三年とうげ/11月</v>
      </c>
      <c r="F10" s="45">
        <f>HLOOKUP(F8,社会,3,FALSE)</f>
        <v>0</v>
      </c>
      <c r="G10" s="45">
        <f>HLOOKUP(G8,算数,3,FALSE)</f>
        <v>0</v>
      </c>
      <c r="H10" s="45">
        <f>HLOOKUP(H8,理科,3,FALSE)</f>
        <v>0</v>
      </c>
      <c r="I10" s="45" t="str">
        <f>HLOOKUP(I8,音楽,3,FALSE)</f>
        <v>●明るい歌声をひびかせよう/4月</v>
      </c>
      <c r="J10" s="45" t="str">
        <f>HLOOKUP(J8,図画工作,3,FALSE)</f>
        <v>●ふんわりふわふわ/5月
●うれしかったあの気もち/7月</v>
      </c>
      <c r="K10" s="3"/>
      <c r="L10" s="47">
        <f>HLOOKUP(L8,保健,3,FALSE)</f>
        <v>0</v>
      </c>
      <c r="M10" s="21"/>
      <c r="N10" s="22"/>
    </row>
    <row r="11" spans="1:14" s="2" customFormat="1" ht="84" customHeight="1">
      <c r="A11" s="10" t="s">
        <v>240</v>
      </c>
      <c r="B11" s="31" t="s">
        <v>262</v>
      </c>
      <c r="C11" s="11" t="s">
        <v>20</v>
      </c>
      <c r="D11" s="12"/>
      <c r="E11" s="44">
        <f>HLOOKUP(E8,国語,4,FALSE)</f>
        <v>0</v>
      </c>
      <c r="F11" s="45" t="str">
        <f>HLOOKUP(F8,社会,4,FALSE)</f>
        <v>●学校のまわり/4月
●古い道具と昔のくらし/1月</v>
      </c>
      <c r="G11" s="45">
        <f>HLOOKUP(G8,算数,4,FALSE)</f>
        <v>0</v>
      </c>
      <c r="H11" s="45">
        <f>HLOOKUP(H8,理科,4,FALSE)</f>
        <v>0</v>
      </c>
      <c r="I11" s="45">
        <f>HLOOKUP(I8,音楽,4,FALSE)</f>
        <v>0</v>
      </c>
      <c r="J11" s="45">
        <f>HLOOKUP(J8,図画工作,4,FALSE)</f>
        <v>0</v>
      </c>
      <c r="K11" s="4"/>
      <c r="L11" s="47" t="str">
        <f>HLOOKUP(L8,保健,4,FALSE)</f>
        <v>●けんこうな生活/6月</v>
      </c>
      <c r="M11" s="21"/>
      <c r="N11" s="22"/>
    </row>
    <row r="12" spans="1:14" s="2" customFormat="1" ht="328.5" customHeight="1">
      <c r="A12" s="16" t="s">
        <v>241</v>
      </c>
      <c r="B12" s="32" t="s">
        <v>263</v>
      </c>
      <c r="C12" s="17"/>
      <c r="D12" s="18" t="s">
        <v>23</v>
      </c>
      <c r="E12" s="44" t="str">
        <f>HLOOKUP(E8,国語,5,FALSE)</f>
        <v>●こそあど言葉/5月
●もうすぐ雨に/7月
●わたしと小鳥とすずと/山のてっぺん/9月
●たから島のぼうけん/12月
●わたしの三大ニュース/3月</v>
      </c>
      <c r="F12" s="45">
        <f>HLOOKUP(F8,社会,5,FALSE)</f>
        <v>0</v>
      </c>
      <c r="G12" s="45" t="str">
        <f>HLOOKUP(G8,算数,5,FALSE)</f>
        <v>●かけ算/4月
●暗算/7月
●□を使った式/1月</v>
      </c>
      <c r="H12" s="45" t="str">
        <f>HLOOKUP(H8,理科,5,FALSE)</f>
        <v>●ゴムや風でものをうごかそう/6月
●ものの重さをしらべよう/11月
●おもちゃショーをひらこう/3月</v>
      </c>
      <c r="I12" s="45" t="str">
        <f>HLOOKUP(I8,音楽,5,FALSE)</f>
        <v>●明るい歌声をひびかせよう/4月
●拍のながれにのって　リズムをかんじとろう/9月
●せんりつのとくちょうをかんじとろう/10月
●いろいろな　音のひびきをかんじとろう/11月
●音を合わせて楽しもう/2月</v>
      </c>
      <c r="J12" s="45" t="str">
        <f>HLOOKUP(J8,図画工作,5,FALSE)</f>
        <v>●いつもの場しょで（選択）校ていで/校しゃの中で/4月
●色・形　いい感じ！/5月
●切ってかき出しくっつけて/5月
●ふんわりふわふわ/5月
●立ち上がった絵のせかい/6月
●カラフルフレンド/6月
●うれしかったあの気もち/7月
●切ってつないで大へんしん！（選択）ボール紙で/だんボールで/9月
●これにえがいたら/9月
●サクサク小刀名人/10月
●クミクミックス/10月
●大すきなものがたり/11月
●ハッピー小もの入れ/12月
●クリスタルファンタジー/12月
●まほうのとびらをあけると/1月
●ゴムの力で（選択）とことこ/クルクル/2月
●ねん土マイタウン/3月
●いろいろうつして/3月</v>
      </c>
      <c r="K12" s="3"/>
      <c r="L12" s="47">
        <f>HLOOKUP(L8,保健,5,FALSE)</f>
        <v>0</v>
      </c>
      <c r="M12" s="21"/>
      <c r="N12" s="22"/>
    </row>
    <row r="13" spans="1:14" s="2" customFormat="1" ht="102" customHeight="1">
      <c r="A13" s="16" t="s">
        <v>242</v>
      </c>
      <c r="B13" s="32" t="s">
        <v>264</v>
      </c>
      <c r="C13" s="17" t="s">
        <v>18</v>
      </c>
      <c r="D13" s="18" t="s">
        <v>24</v>
      </c>
      <c r="E13" s="44" t="str">
        <f>HLOOKUP(E8,国語,6,FALSE)</f>
        <v>●里山は，未来の風景/7月
●食べ物のひみつを教えます/11月
●ありの行列/1月</v>
      </c>
      <c r="F13" s="45">
        <f>HLOOKUP(F8,社会,6,FALSE)</f>
        <v>0</v>
      </c>
      <c r="G13" s="45" t="str">
        <f>HLOOKUP(G8,算数,6,FALSE)</f>
        <v>●ぼうグラフと表/3月</v>
      </c>
      <c r="H13" s="45">
        <f>HLOOKUP(H8,理科,6,FALSE)</f>
        <v>0</v>
      </c>
      <c r="I13" s="45" t="str">
        <f>HLOOKUP(I8,音楽,6,FALSE)</f>
        <v>●リコーダーと　なかよし/6月</v>
      </c>
      <c r="J13" s="45" t="str">
        <f>HLOOKUP(J8,図画工作,6,FALSE)</f>
        <v>●トントンドンドンくぎうち名人/10月</v>
      </c>
      <c r="K13" s="3"/>
      <c r="L13" s="47">
        <f>HLOOKUP(L8,保健,6,FALSE)</f>
        <v>0</v>
      </c>
      <c r="M13" s="21"/>
      <c r="N13" s="22"/>
    </row>
    <row r="14" spans="1:14" s="2" customFormat="1" ht="112.5" customHeight="1">
      <c r="A14" s="16" t="s">
        <v>243</v>
      </c>
      <c r="B14" s="32" t="s">
        <v>265</v>
      </c>
      <c r="C14" s="17"/>
      <c r="D14" s="18"/>
      <c r="E14" s="44" t="str">
        <f>HLOOKUP(E8,国語,7,FALSE)</f>
        <v>●よい聞き手になろう/5月
●きちんとつたえるために/5月
●しりょうから分かる，小学生のこと/1月</v>
      </c>
      <c r="F14" s="45">
        <f>HLOOKUP(F8,社会,7,FALSE)</f>
        <v>0</v>
      </c>
      <c r="G14" s="45">
        <f>HLOOKUP(G8,算数,7,FALSE)</f>
        <v>0</v>
      </c>
      <c r="H14" s="45">
        <f>HLOOKUP(H8,理科,7,FALSE)</f>
        <v>0</v>
      </c>
      <c r="I14" s="45">
        <f>HLOOKUP(I8,音楽,7,FALSE)</f>
        <v>0</v>
      </c>
      <c r="J14" s="45">
        <f>HLOOKUP(J8,図画工作,7,FALSE)</f>
        <v>0</v>
      </c>
      <c r="K14" s="3"/>
      <c r="L14" s="47">
        <f>HLOOKUP(L8,保健,7,FALSE)</f>
        <v>0</v>
      </c>
      <c r="M14" s="21"/>
      <c r="N14" s="22"/>
    </row>
    <row r="15" spans="1:14" s="2" customFormat="1" ht="64.5" customHeight="1">
      <c r="A15" s="16" t="s">
        <v>244</v>
      </c>
      <c r="B15" s="32" t="s">
        <v>266</v>
      </c>
      <c r="C15" s="17"/>
      <c r="D15" s="18"/>
      <c r="E15" s="44" t="str">
        <f>HLOOKUP(E8,国語,8,FALSE)</f>
        <v>●「ありがとう」をつたえよう/7月
</v>
      </c>
      <c r="F15" s="45" t="str">
        <f>HLOOKUP(F8,社会,8,FALSE)</f>
        <v>●市の人々の仕事/9月
●店ではたらく人/9月
●農家の仕事 /工場の仕事（選択）/11月</v>
      </c>
      <c r="G15" s="45">
        <f>HLOOKUP(G8,算数,8,FALSE)</f>
        <v>0</v>
      </c>
      <c r="H15" s="45">
        <f>HLOOKUP(H8,理科,8,FALSE)</f>
        <v>0</v>
      </c>
      <c r="I15" s="45">
        <f>HLOOKUP(I8,音楽,8,FALSE)</f>
        <v>0</v>
      </c>
      <c r="J15" s="45">
        <f>HLOOKUP(J8,図画工作,8,FALSE)</f>
        <v>0</v>
      </c>
      <c r="K15" s="3"/>
      <c r="L15" s="47" t="str">
        <f>HLOOKUP(L8,保健,8,FALSE)</f>
        <v>●けんこうな生活/6月</v>
      </c>
      <c r="M15" s="21"/>
      <c r="N15" s="22"/>
    </row>
    <row r="16" spans="1:14" s="2" customFormat="1" ht="65.25" customHeight="1">
      <c r="A16" s="16" t="s">
        <v>245</v>
      </c>
      <c r="B16" s="32" t="s">
        <v>267</v>
      </c>
      <c r="C16" s="17"/>
      <c r="D16" s="18"/>
      <c r="E16" s="44" t="str">
        <f>HLOOKUP(E8,国語,9,FALSE)</f>
        <v>●「ありがとう」をつたえよう/7月
</v>
      </c>
      <c r="F16" s="45" t="str">
        <f>HLOOKUP(F8,社会,9,FALSE)</f>
        <v>●店ではたらく人/9月</v>
      </c>
      <c r="G16" s="45">
        <f>HLOOKUP(G8,算数,9,FALSE)</f>
        <v>0</v>
      </c>
      <c r="H16" s="45">
        <f>HLOOKUP(H8,理科,9,FALSE)</f>
        <v>0</v>
      </c>
      <c r="I16" s="45">
        <f>HLOOKUP(I8,音楽,9,FALSE)</f>
        <v>0</v>
      </c>
      <c r="J16" s="45">
        <f>HLOOKUP(J8,図画工作,9,FALSE)</f>
        <v>0</v>
      </c>
      <c r="K16" s="3"/>
      <c r="L16" s="47">
        <f>HLOOKUP(L8,保健,9,FALSE)</f>
        <v>0</v>
      </c>
      <c r="M16" s="21"/>
      <c r="N16" s="22"/>
    </row>
    <row r="17" spans="1:14" s="2" customFormat="1" ht="264" customHeight="1">
      <c r="A17" s="16" t="s">
        <v>246</v>
      </c>
      <c r="B17" s="32" t="s">
        <v>268</v>
      </c>
      <c r="C17" s="17" t="s">
        <v>17</v>
      </c>
      <c r="D17" s="18"/>
      <c r="E17" s="44" t="str">
        <f>HLOOKUP(E8,国語,10,FALSE)</f>
        <v>●もうすぐ雨に/7月</v>
      </c>
      <c r="F17" s="45">
        <f>HLOOKUP(F8,社会,10,FALSE)</f>
        <v>0</v>
      </c>
      <c r="G17" s="45">
        <f>HLOOKUP(G8,算数,10,FALSE)</f>
        <v>0</v>
      </c>
      <c r="H17" s="45">
        <f>HLOOKUP(H8,理科,10,FALSE)</f>
        <v>0</v>
      </c>
      <c r="I17" s="45">
        <f>HLOOKUP(I8,音楽,10,FALSE)</f>
        <v>0</v>
      </c>
      <c r="J17" s="45" t="str">
        <f>HLOOKUP(J8,図画工作,10,FALSE)</f>
        <v>●いつもの場しょで（選択）校ていで/校しゃの中で/4月
●切ってつないで大へんしん！（選択）ボール紙で/だんボールで/9月
●クミクミックス/10月
●ひもひもワールド/11月
●クリスタルファンタジー/12月
●まほうのとびらをあけると/1月</v>
      </c>
      <c r="K17" s="3" t="s">
        <v>25</v>
      </c>
      <c r="L17" s="47">
        <f>HLOOKUP(L8,保健,10,FALSE)</f>
        <v>0</v>
      </c>
      <c r="M17" s="21"/>
      <c r="N17" s="22"/>
    </row>
    <row r="18" spans="1:14" s="2" customFormat="1" ht="161.25" customHeight="1">
      <c r="A18" s="16" t="s">
        <v>247</v>
      </c>
      <c r="B18" s="32" t="s">
        <v>269</v>
      </c>
      <c r="C18" s="17"/>
      <c r="D18" s="18"/>
      <c r="E18" s="44" t="str">
        <f>HLOOKUP(E8,国語,11,FALSE)</f>
        <v>●「ありがとう」をつたえよう/7月</v>
      </c>
      <c r="F18" s="45">
        <f>HLOOKUP(F8,社会,11,FALSE)</f>
        <v>0</v>
      </c>
      <c r="G18" s="45">
        <f>HLOOKUP(G8,算数,11,FALSE)</f>
        <v>0</v>
      </c>
      <c r="H18" s="45" t="str">
        <f>HLOOKUP(H8,理科,11,FALSE)</f>
        <v>●ゴムや風でものをうごかそう/6月
●太陽のうごきと地面のようすをしらべよう/10月
●太陽の光をしらべよう/11月</v>
      </c>
      <c r="I18" s="45">
        <f>HLOOKUP(I8,音楽,11,FALSE)</f>
        <v>0</v>
      </c>
      <c r="J18" s="45" t="str">
        <f>HLOOKUP(J8,図画工作,11,FALSE)</f>
        <v>●いつもの場しょで（選択）校ていで/校しゃの中で/4月
●クミクミックス/10月
●ひもひもワールド/11月
●クリスタルファンタジー/12月</v>
      </c>
      <c r="K18" s="3" t="s">
        <v>219</v>
      </c>
      <c r="L18" s="47">
        <f>HLOOKUP(L8,保健,11,FALSE)</f>
        <v>0</v>
      </c>
      <c r="M18" s="21"/>
      <c r="N18" s="22"/>
    </row>
    <row r="19" spans="1:14" s="2" customFormat="1" ht="219" customHeight="1">
      <c r="A19" s="16" t="s">
        <v>248</v>
      </c>
      <c r="B19" s="32" t="s">
        <v>270</v>
      </c>
      <c r="C19" s="17"/>
      <c r="D19" s="18"/>
      <c r="E19" s="44" t="str">
        <f>HLOOKUP(E8,国語,12,FALSE)</f>
        <v>●国語辞典のつかい方/4月
●こそあど言葉/5月
●言葉で遊ぼう/5月
●気になる記号/6月
●本を使って調べよう/7月
●へんとつくり/9月
●修飾語/10月
●漢字の意味/11月
●言葉を分類する/12月
●しりょうから分かる，小学生のこと/1月
●コンピューターのローマ字入力/2月</v>
      </c>
      <c r="F19" s="45">
        <f>HLOOKUP(F8,社会,12,FALSE)</f>
        <v>0</v>
      </c>
      <c r="G19" s="45" t="str">
        <f>HLOOKUP(G8,算数,12,FALSE)</f>
        <v>●かけ算/4月
●時こくと時間のもとめ方/4月
●長いものの長さのはかり方/5月
●わり算/5月
●たし算とひき算の筆算/6月
●あまりのあるわり算/7月
●大きい数のしくみ/9月
●かけ算の筆算(1)/9月
●小数/10月
●重さのたんいとはかり方/11月
●円と球/11月
●分数/12月
●□を使った式/1月
●かけ算の筆算(2)/1月
●三角形/2月
●そろばん/3月</v>
      </c>
      <c r="H19" s="45" t="str">
        <f>HLOOKUP(H8,理科,12,FALSE)</f>
        <v>●太陽の光をしらべよう/11月
●豆電球にあかりをつけよう/1月</v>
      </c>
      <c r="I19" s="45">
        <f>HLOOKUP(I8,音楽,12,FALSE)</f>
        <v>0</v>
      </c>
      <c r="J19" s="45" t="str">
        <f>HLOOKUP(J8,図画工作,12,FALSE)</f>
        <v>●トントンドンドンくぎうち名人/10月
●サクサク小刀名人/10月</v>
      </c>
      <c r="K19" s="3" t="s">
        <v>26</v>
      </c>
      <c r="L19" s="47">
        <f>HLOOKUP(L8,保健,12,FALSE)</f>
        <v>0</v>
      </c>
      <c r="M19" s="21"/>
      <c r="N19" s="22"/>
    </row>
    <row r="20" spans="1:14" s="2" customFormat="1" ht="153" customHeight="1">
      <c r="A20" s="16" t="s">
        <v>249</v>
      </c>
      <c r="B20" s="32" t="s">
        <v>271</v>
      </c>
      <c r="C20" s="17" t="s">
        <v>193</v>
      </c>
      <c r="D20" s="18"/>
      <c r="E20" s="44" t="str">
        <f>HLOOKUP(E8,国語,13,FALSE)</f>
        <v>●わたしと小鳥とすずと/山のてっぺん/9月</v>
      </c>
      <c r="F20" s="45">
        <f>HLOOKUP(F8,社会,13,FALSE)</f>
        <v>0</v>
      </c>
      <c r="G20" s="45">
        <f>HLOOKUP(G8,算数,13,FALSE)</f>
        <v>0</v>
      </c>
      <c r="H20" s="45">
        <f>HLOOKUP(H8,理科,13,FALSE)</f>
        <v>0</v>
      </c>
      <c r="I20" s="45">
        <f>HLOOKUP(I8,音楽,13,FALSE)</f>
        <v>0</v>
      </c>
      <c r="J20" s="45">
        <f>HLOOKUP(J8,図画工作,13,FALSE)</f>
        <v>0</v>
      </c>
      <c r="K20" s="3" t="s">
        <v>219</v>
      </c>
      <c r="L20" s="47">
        <f>HLOOKUP(L8,保健,13,FALSE)</f>
        <v>0</v>
      </c>
      <c r="M20" s="21"/>
      <c r="N20" s="22"/>
    </row>
    <row r="21" spans="1:14" s="2" customFormat="1" ht="45.75" customHeight="1">
      <c r="A21" s="16" t="s">
        <v>250</v>
      </c>
      <c r="B21" s="32" t="s">
        <v>272</v>
      </c>
      <c r="C21" s="17" t="s">
        <v>16</v>
      </c>
      <c r="D21" s="18" t="s">
        <v>21</v>
      </c>
      <c r="E21" s="44">
        <f>HLOOKUP(E8,国語,14,FALSE)</f>
        <v>0</v>
      </c>
      <c r="F21" s="45" t="str">
        <f>HLOOKUP(F8,社会,14,FALSE)</f>
        <v>●市の人々の仕事/9月
●店ではたらく人/9月
●農家の仕事 /工場の仕事（選択）/11月</v>
      </c>
      <c r="G21" s="45">
        <f>HLOOKUP(G8,算数,14,FALSE)</f>
        <v>0</v>
      </c>
      <c r="H21" s="45">
        <f>HLOOKUP(H8,理科,14,FALSE)</f>
        <v>0</v>
      </c>
      <c r="I21" s="45">
        <f>HLOOKUP(I8,音楽,14,FALSE)</f>
        <v>0</v>
      </c>
      <c r="J21" s="45">
        <f>HLOOKUP(J8,図画工作,14,FALSE)</f>
        <v>0</v>
      </c>
      <c r="K21" s="3"/>
      <c r="L21" s="47">
        <f>HLOOKUP(L8,保健,14,FALSE)</f>
        <v>0</v>
      </c>
      <c r="M21" s="21"/>
      <c r="N21" s="22"/>
    </row>
    <row r="22" spans="1:14" s="2" customFormat="1" ht="81.75" customHeight="1">
      <c r="A22" s="16" t="s">
        <v>251</v>
      </c>
      <c r="B22" s="32" t="s">
        <v>273</v>
      </c>
      <c r="C22" s="17"/>
      <c r="D22" s="18"/>
      <c r="E22" s="44" t="str">
        <f>HLOOKUP(E8,国語,15,FALSE)</f>
        <v>●ちいちゃんのかげおくり/10月
●モチモチの木/3月
</v>
      </c>
      <c r="F22" s="45">
        <f>HLOOKUP(F8,社会,15,FALSE)</f>
        <v>0</v>
      </c>
      <c r="G22" s="45">
        <f>HLOOKUP(G8,算数,15,FALSE)</f>
        <v>0</v>
      </c>
      <c r="H22" s="45">
        <f>HLOOKUP(H8,理科,15,FALSE)</f>
        <v>0</v>
      </c>
      <c r="I22" s="45">
        <f>HLOOKUP(I8,音楽,15,FALSE)</f>
        <v>0</v>
      </c>
      <c r="J22" s="45">
        <f>HLOOKUP(J8,図画工作,15,FALSE)</f>
        <v>0</v>
      </c>
      <c r="K22" s="3"/>
      <c r="L22" s="47">
        <f>HLOOKUP(L8,保健,15,FALSE)</f>
        <v>0</v>
      </c>
      <c r="M22" s="21"/>
      <c r="N22" s="22"/>
    </row>
    <row r="23" spans="1:14" s="2" customFormat="1" ht="72.75" customHeight="1">
      <c r="A23" s="16" t="s">
        <v>252</v>
      </c>
      <c r="B23" s="32" t="s">
        <v>274</v>
      </c>
      <c r="C23" s="17" t="s">
        <v>19</v>
      </c>
      <c r="D23" s="18" t="s">
        <v>22</v>
      </c>
      <c r="E23" s="44" t="str">
        <f>HLOOKUP(E8,国語,16,FALSE)</f>
        <v>●つたえよう，楽しい学校生活/9月</v>
      </c>
      <c r="F23" s="46">
        <f>HLOOKUP(F8,社会,16,FALSE)</f>
        <v>0</v>
      </c>
      <c r="G23" s="45">
        <f>HLOOKUP(G8,算数,16,FALSE)</f>
        <v>0</v>
      </c>
      <c r="H23" s="45">
        <f>HLOOKUP(H8,理科,16,FALSE)</f>
        <v>0</v>
      </c>
      <c r="I23" s="45">
        <f>HLOOKUP(I8,音楽,16,FALSE)</f>
        <v>0</v>
      </c>
      <c r="J23" s="45" t="str">
        <f>HLOOKUP(J8,図画工作,16,FALSE)</f>
        <v>●いつもの場しょで（選択）校ていで/校しゃの中で/4月
●ひもひもワールド/11月</v>
      </c>
      <c r="K23" s="54"/>
      <c r="L23" s="47">
        <f>HLOOKUP(L8,保健,16,FALSE)</f>
        <v>0</v>
      </c>
      <c r="M23" s="21"/>
      <c r="N23" s="22"/>
    </row>
    <row r="24" spans="1:14" s="2" customFormat="1" ht="93.75" customHeight="1">
      <c r="A24" s="16" t="s">
        <v>253</v>
      </c>
      <c r="B24" s="32" t="s">
        <v>275</v>
      </c>
      <c r="C24" s="17"/>
      <c r="D24" s="18"/>
      <c r="E24" s="44" t="str">
        <f>HLOOKUP(E8,国語,17,FALSE)</f>
        <v>●漢字の音と訓/4月
●きせつの言葉１　春の楽しみ/4月
●こまを楽しむ/5月
●きせつの言葉２　夏の楽しみ/6月
●里山は，未来の風景/7月
●きせつの言葉４　冬の楽しみ/12月
●ことわざについて調べよう/2月
</v>
      </c>
      <c r="F24" s="45" t="str">
        <f>HLOOKUP(F8,社会,17,FALSE)</f>
        <v>●学校のまわり/4月
●市の様子/6月
●市の人々の仕事/9月
●農家の仕事 /工場の仕事（選択）/11月
●古い道具と昔のくらし/1月
●のこしたいもの、つたえたいもの/2月</v>
      </c>
      <c r="G24" s="45" t="str">
        <f>HLOOKUP(G8,算数,17,FALSE)</f>
        <v>●そろばん/3月</v>
      </c>
      <c r="H24" s="45">
        <f>HLOOKUP(H8,理科,17,FALSE)</f>
        <v>0</v>
      </c>
      <c r="I24" s="45" t="str">
        <f>HLOOKUP(I8,音楽,17,FALSE)</f>
        <v>●日本の音楽に親しもう/1月</v>
      </c>
      <c r="J24" s="45">
        <f>HLOOKUP(J8,図画工作,17,FALSE)</f>
        <v>0</v>
      </c>
      <c r="K24" s="3"/>
      <c r="L24" s="47">
        <f>HLOOKUP(L8,保健,17,FALSE)</f>
        <v>0</v>
      </c>
      <c r="M24" s="21"/>
      <c r="N24" s="22"/>
    </row>
    <row r="25" spans="1:14" s="2" customFormat="1" ht="59.25" customHeight="1">
      <c r="A25" s="66" t="s">
        <v>254</v>
      </c>
      <c r="B25" s="55" t="s">
        <v>276</v>
      </c>
      <c r="C25" s="56"/>
      <c r="D25" s="57"/>
      <c r="E25" s="44" t="str">
        <f>HLOOKUP(E8,国語,18,FALSE)</f>
        <v>●ローマ字/10月
●三年とうげ/11月
●コンピューターのローマ字入力/2月
●ことわざについて調べよう/2月</v>
      </c>
      <c r="F25" s="45">
        <f>HLOOKUP(F8,社会,18,FALSE)</f>
        <v>0</v>
      </c>
      <c r="G25" s="45">
        <f>HLOOKUP(G8,算数,18,FALSE)</f>
        <v>0</v>
      </c>
      <c r="H25" s="45">
        <f>HLOOKUP(H8,理科,18,FALSE)</f>
        <v>0</v>
      </c>
      <c r="I25" s="45">
        <f>HLOOKUP(I8,音楽,18,FALSE)</f>
        <v>0</v>
      </c>
      <c r="J25" s="45">
        <f>HLOOKUP(J8,図画工作,18,FALSE)</f>
        <v>0</v>
      </c>
      <c r="K25" s="3"/>
      <c r="L25" s="47">
        <f>HLOOKUP(L8,保健,18,FALSE)</f>
        <v>0</v>
      </c>
      <c r="M25" s="21"/>
      <c r="N25" s="22"/>
    </row>
    <row r="26" spans="1:14" s="2" customFormat="1" ht="114" customHeight="1">
      <c r="A26" s="16" t="s">
        <v>255</v>
      </c>
      <c r="B26" s="32" t="s">
        <v>277</v>
      </c>
      <c r="C26" s="17"/>
      <c r="D26" s="18"/>
      <c r="E26" s="44" t="str">
        <f>HLOOKUP(E8,国語,19,FALSE)</f>
        <v>●ちいちゃんのかげおくり/10月</v>
      </c>
      <c r="F26" s="45">
        <f>HLOOKUP(F8,社会,19,FALSE)</f>
        <v>0</v>
      </c>
      <c r="G26" s="45">
        <f>HLOOKUP(G8,算数,19,FALSE)</f>
        <v>0</v>
      </c>
      <c r="H26" s="45" t="str">
        <f>HLOOKUP(H8,理科,19,FALSE)</f>
        <v>●植物をそだてよう（1）たねまき/4月
●こん虫をそだてよう/5月
●植物をそだてよう（2）葉・くき・根/6月
●植物をそだてよう（3）花/7月
●植物をそだてよう（4）花がさいたあと/9月</v>
      </c>
      <c r="I26" s="45">
        <f>HLOOKUP(I8,音楽,19,FALSE)</f>
        <v>0</v>
      </c>
      <c r="J26" s="45">
        <f>HLOOKUP(J8,図画工作,19,FALSE)</f>
        <v>0</v>
      </c>
      <c r="K26" s="3"/>
      <c r="L26" s="58">
        <f>HLOOKUP(L8,保健,19,FALSE)</f>
        <v>0</v>
      </c>
      <c r="M26" s="21"/>
      <c r="N26" s="22"/>
    </row>
    <row r="27" spans="1:14" s="2" customFormat="1" ht="150.75" customHeight="1">
      <c r="A27" s="16" t="s">
        <v>256</v>
      </c>
      <c r="B27" s="32" t="s">
        <v>278</v>
      </c>
      <c r="C27" s="17"/>
      <c r="D27" s="18"/>
      <c r="E27" s="41" t="str">
        <f>HLOOKUP(E8,国語,20,FALSE)</f>
        <v>●きつつきの商売/4月
●きせつの言葉１　春の楽しみ/4月
●きせつの言葉２　夏の楽しみ/6月
●里山は，未来の風景/7月
●きせつの言葉３　秋の楽しみ/10月
●すがたをかえる大豆/11月
●きせつの言葉４　冬の楽しみ/12月
●ありの行列/1月
</v>
      </c>
      <c r="F27" s="42" t="str">
        <f>HLOOKUP(F8,社会,20,FALSE)</f>
        <v>●市の様子/6月</v>
      </c>
      <c r="G27" s="42">
        <f>HLOOKUP(G8,算数,20,FALSE)</f>
        <v>0</v>
      </c>
      <c r="H27" s="42" t="str">
        <f>HLOOKUP(H8,理科,20,FALSE)</f>
        <v>●しぜんのかんさつをしよう/4月
●植物をそだてよう（1）たねまき/4月
●こん虫をそだてよう/5月
●植物をそだてよう（2）葉・くき・根/6月
●ゴムや風でものをうごかそう/6月
●植物をそだてよう（3）花/7月
●動物のすみかをしらべよう/9月
●植物をそだてよう（4）花がさいたあと/9月
●太陽のうごきと地面のようすをしらべよう/10月
●太陽の光をしらべよう/11月</v>
      </c>
      <c r="I27" s="42">
        <f>HLOOKUP(I8,音楽,20,FALSE)</f>
        <v>0</v>
      </c>
      <c r="J27" s="42">
        <f>HLOOKUP(J8,図画工作,20,FALSE)</f>
        <v>0</v>
      </c>
      <c r="K27" s="4"/>
      <c r="L27" s="43">
        <f>HLOOKUP(L8,保健,20,FALSE)</f>
        <v>0</v>
      </c>
      <c r="M27" s="21"/>
      <c r="N27" s="22"/>
    </row>
    <row r="28" spans="1:14" s="2" customFormat="1" ht="39" customHeight="1">
      <c r="A28" s="23" t="s">
        <v>257</v>
      </c>
      <c r="B28" s="33" t="s">
        <v>279</v>
      </c>
      <c r="C28" s="24"/>
      <c r="D28" s="25"/>
      <c r="E28" s="48">
        <f>HLOOKUP(E8,国語,21,FALSE)</f>
        <v>0</v>
      </c>
      <c r="F28" s="49" t="str">
        <f>HLOOKUP(F8,社会,21,FALSE)</f>
        <v>●のこしたいもの、つたえたいもの/2月</v>
      </c>
      <c r="G28" s="49">
        <f>HLOOKUP(G8,算数,21,FALSE)</f>
        <v>0</v>
      </c>
      <c r="H28" s="49">
        <f>HLOOKUP(H8,理科,21,FALSE)</f>
        <v>0</v>
      </c>
      <c r="I28" s="49">
        <f>HLOOKUP(I8,音楽,21,FALSE)</f>
        <v>0</v>
      </c>
      <c r="J28" s="49">
        <f>HLOOKUP(J8,図画工作,21,FALSE)</f>
        <v>0</v>
      </c>
      <c r="K28" s="6"/>
      <c r="L28" s="50">
        <f>HLOOKUP(L8,保健,21,FALSE)</f>
        <v>0</v>
      </c>
      <c r="M28" s="28"/>
      <c r="N28" s="29"/>
    </row>
    <row r="30" spans="1:2" ht="10.5" hidden="1">
      <c r="A30" s="78" t="s">
        <v>282</v>
      </c>
      <c r="B30" s="78"/>
    </row>
    <row r="31" spans="1:2" ht="10.5" hidden="1">
      <c r="A31" s="79" t="s">
        <v>283</v>
      </c>
      <c r="B31" s="80" t="s">
        <v>284</v>
      </c>
    </row>
    <row r="32" spans="1:2" ht="10.5" hidden="1">
      <c r="A32" s="81" t="s">
        <v>283</v>
      </c>
      <c r="B32" s="82" t="s">
        <v>285</v>
      </c>
    </row>
    <row r="33" spans="1:2" ht="10.5" hidden="1">
      <c r="A33" s="81" t="s">
        <v>283</v>
      </c>
      <c r="B33" s="82" t="s">
        <v>286</v>
      </c>
    </row>
    <row r="34" spans="1:2" ht="10.5" hidden="1">
      <c r="A34" s="81" t="s">
        <v>283</v>
      </c>
      <c r="B34" s="82" t="s">
        <v>287</v>
      </c>
    </row>
    <row r="35" spans="1:2" ht="10.5" hidden="1">
      <c r="A35" s="81" t="s">
        <v>288</v>
      </c>
      <c r="B35" s="82" t="s">
        <v>289</v>
      </c>
    </row>
    <row r="36" spans="1:2" ht="10.5" hidden="1">
      <c r="A36" s="81" t="s">
        <v>290</v>
      </c>
      <c r="B36" s="82" t="s">
        <v>284</v>
      </c>
    </row>
    <row r="37" spans="1:2" ht="10.5" hidden="1">
      <c r="A37" s="81" t="s">
        <v>291</v>
      </c>
      <c r="B37" s="82" t="s">
        <v>287</v>
      </c>
    </row>
    <row r="38" spans="1:2" ht="10.5" hidden="1">
      <c r="A38" s="81" t="s">
        <v>291</v>
      </c>
      <c r="B38" s="82" t="s">
        <v>289</v>
      </c>
    </row>
    <row r="39" spans="1:2" ht="10.5" hidden="1">
      <c r="A39" s="81" t="s">
        <v>291</v>
      </c>
      <c r="B39" s="82" t="s">
        <v>292</v>
      </c>
    </row>
    <row r="40" spans="1:2" ht="10.5" hidden="1">
      <c r="A40" s="81" t="s">
        <v>2</v>
      </c>
      <c r="B40" s="82" t="s">
        <v>284</v>
      </c>
    </row>
    <row r="41" spans="1:2" ht="10.5" hidden="1">
      <c r="A41" s="81" t="s">
        <v>293</v>
      </c>
      <c r="B41" s="82" t="s">
        <v>294</v>
      </c>
    </row>
    <row r="42" spans="1:2" ht="10.5" hidden="1">
      <c r="A42" s="81" t="s">
        <v>2</v>
      </c>
      <c r="B42" s="82" t="s">
        <v>285</v>
      </c>
    </row>
    <row r="43" spans="1:2" ht="10.5" hidden="1">
      <c r="A43" s="81" t="s">
        <v>2</v>
      </c>
      <c r="B43" s="82" t="s">
        <v>287</v>
      </c>
    </row>
    <row r="44" spans="1:2" ht="10.5" hidden="1">
      <c r="A44" s="81" t="s">
        <v>293</v>
      </c>
      <c r="B44" s="82" t="s">
        <v>295</v>
      </c>
    </row>
    <row r="45" spans="1:2" ht="10.5" hidden="1">
      <c r="A45" s="81" t="s">
        <v>293</v>
      </c>
      <c r="B45" s="82" t="s">
        <v>296</v>
      </c>
    </row>
    <row r="46" spans="1:2" ht="10.5" hidden="1">
      <c r="A46" s="81" t="s">
        <v>297</v>
      </c>
      <c r="B46" s="82" t="s">
        <v>284</v>
      </c>
    </row>
    <row r="47" spans="1:2" ht="10.5" hidden="1">
      <c r="A47" s="81" t="s">
        <v>7</v>
      </c>
      <c r="B47" s="82" t="s">
        <v>294</v>
      </c>
    </row>
    <row r="48" spans="1:2" ht="10.5" hidden="1">
      <c r="A48" s="81" t="s">
        <v>297</v>
      </c>
      <c r="B48" s="82" t="s">
        <v>285</v>
      </c>
    </row>
    <row r="49" spans="1:2" ht="10.5" hidden="1">
      <c r="A49" s="81" t="s">
        <v>297</v>
      </c>
      <c r="B49" s="82" t="s">
        <v>287</v>
      </c>
    </row>
    <row r="50" spans="1:2" ht="10.5" hidden="1">
      <c r="A50" s="81" t="s">
        <v>297</v>
      </c>
      <c r="B50" s="82" t="s">
        <v>295</v>
      </c>
    </row>
    <row r="51" spans="1:2" ht="10.5" hidden="1">
      <c r="A51" s="81" t="s">
        <v>298</v>
      </c>
      <c r="B51" s="82" t="s">
        <v>287</v>
      </c>
    </row>
    <row r="52" spans="1:2" ht="10.5" hidden="1">
      <c r="A52" s="81" t="s">
        <v>3</v>
      </c>
      <c r="B52" s="83" t="s">
        <v>299</v>
      </c>
    </row>
    <row r="53" spans="1:2" ht="10.5" hidden="1">
      <c r="A53" s="81" t="s">
        <v>300</v>
      </c>
      <c r="B53" s="83" t="s">
        <v>301</v>
      </c>
    </row>
    <row r="54" spans="1:2" ht="10.5" hidden="1">
      <c r="A54" s="81" t="s">
        <v>300</v>
      </c>
      <c r="B54" s="83" t="s">
        <v>259</v>
      </c>
    </row>
    <row r="55" spans="1:2" ht="10.5" hidden="1">
      <c r="A55" s="84" t="s">
        <v>302</v>
      </c>
      <c r="B55" s="85" t="s">
        <v>284</v>
      </c>
    </row>
    <row r="56" spans="1:2" ht="10.5" hidden="1">
      <c r="A56" s="84" t="s">
        <v>302</v>
      </c>
      <c r="B56" s="85" t="s">
        <v>294</v>
      </c>
    </row>
    <row r="57" spans="1:2" ht="10.5" hidden="1">
      <c r="A57" s="84" t="s">
        <v>302</v>
      </c>
      <c r="B57" s="85" t="s">
        <v>303</v>
      </c>
    </row>
    <row r="58" spans="1:2" ht="10.5" hidden="1">
      <c r="A58" s="86" t="s">
        <v>302</v>
      </c>
      <c r="B58" s="87" t="s">
        <v>304</v>
      </c>
    </row>
  </sheetData>
  <sheetProtection autoFilter="0"/>
  <mergeCells count="15">
    <mergeCell ref="N6:N8"/>
    <mergeCell ref="A2:A4"/>
    <mergeCell ref="E6:L6"/>
    <mergeCell ref="C6:D6"/>
    <mergeCell ref="A6:A8"/>
    <mergeCell ref="C7:C8"/>
    <mergeCell ref="D7:D8"/>
    <mergeCell ref="I2:J2"/>
    <mergeCell ref="I4:J4"/>
    <mergeCell ref="B7:B8"/>
    <mergeCell ref="I3:J3"/>
    <mergeCell ref="M6:M8"/>
    <mergeCell ref="B3:D3"/>
    <mergeCell ref="B4:D4"/>
    <mergeCell ref="B2:D2"/>
  </mergeCells>
  <dataValidations count="7">
    <dataValidation type="list" allowBlank="1" showInputMessage="1" showErrorMessage="1" sqref="E8">
      <formula1>$B$31:$B$35</formula1>
    </dataValidation>
    <dataValidation type="list" allowBlank="1" showInputMessage="1" showErrorMessage="1" sqref="F8">
      <formula1>$B$36:$B$39</formula1>
    </dataValidation>
    <dataValidation type="list" allowBlank="1" showInputMessage="1" showErrorMessage="1" sqref="G8">
      <formula1>$B$40:$B$45</formula1>
    </dataValidation>
    <dataValidation type="list" allowBlank="1" showInputMessage="1" showErrorMessage="1" sqref="H8">
      <formula1>$B$46:$B$50</formula1>
    </dataValidation>
    <dataValidation type="list" allowBlank="1" showInputMessage="1" showErrorMessage="1" sqref="I8">
      <formula1>$B$51:$B$52</formula1>
    </dataValidation>
    <dataValidation type="list" allowBlank="1" showInputMessage="1" showErrorMessage="1" sqref="J8">
      <formula1>$B$53:$B$54</formula1>
    </dataValidation>
    <dataValidation type="list" allowBlank="1" showInputMessage="1" showErrorMessage="1" sqref="L8">
      <formula1>$B$55:$B$58</formula1>
    </dataValidation>
  </dataValidations>
  <printOptions horizontalCentered="1"/>
  <pageMargins left="0.1968503937007874" right="0.1968503937007874" top="0.1968503937007874" bottom="0.1968503937007874" header="0.1968503937007874" footer="0.1968503937007874"/>
  <pageSetup fitToWidth="0" horizontalDpi="600" verticalDpi="600" orientation="landscape" paperSize="8" r:id="rId2"/>
  <headerFooter>
    <oddFooter>&amp;R3年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D28"/>
  <sheetViews>
    <sheetView zoomScalePageLayoutView="0" workbookViewId="0" topLeftCell="A1">
      <selection activeCell="A1" sqref="A1"/>
    </sheetView>
  </sheetViews>
  <sheetFormatPr defaultColWidth="9.00390625" defaultRowHeight="15"/>
  <cols>
    <col min="1" max="1" width="16.7109375" style="65" customWidth="1"/>
    <col min="2" max="30" width="14.7109375" style="61" customWidth="1"/>
    <col min="31" max="31" width="17.7109375" style="61" customWidth="1"/>
    <col min="32" max="16384" width="9.00390625" style="61" customWidth="1"/>
  </cols>
  <sheetData>
    <row r="1" spans="1:9" ht="14.25">
      <c r="A1" s="73" t="s">
        <v>281</v>
      </c>
      <c r="B1" s="70"/>
      <c r="C1" s="70"/>
      <c r="D1" s="70"/>
      <c r="E1" s="70"/>
      <c r="F1" s="60"/>
      <c r="G1" s="60"/>
      <c r="H1" s="60"/>
      <c r="I1" s="60"/>
    </row>
    <row r="2" spans="1:24" s="1" customFormat="1" ht="9">
      <c r="A2" s="122" t="s">
        <v>1</v>
      </c>
      <c r="B2" s="116" t="s">
        <v>0</v>
      </c>
      <c r="C2" s="117"/>
      <c r="D2" s="118"/>
      <c r="E2" s="62"/>
      <c r="F2" s="62"/>
      <c r="G2" s="62"/>
      <c r="H2" s="62"/>
      <c r="I2" s="62"/>
      <c r="N2" s="63"/>
      <c r="Q2" s="63"/>
      <c r="R2" s="63"/>
      <c r="S2" s="63"/>
      <c r="T2" s="142"/>
      <c r="U2" s="103"/>
      <c r="V2" s="103"/>
      <c r="W2" s="103"/>
      <c r="X2" s="143"/>
    </row>
    <row r="3" spans="1:24" s="1" customFormat="1" ht="13.5" customHeight="1">
      <c r="A3" s="123"/>
      <c r="B3" s="110" t="s">
        <v>14</v>
      </c>
      <c r="C3" s="111"/>
      <c r="D3" s="112"/>
      <c r="N3" s="64"/>
      <c r="O3" s="63"/>
      <c r="P3" s="64"/>
      <c r="Q3" s="64"/>
      <c r="R3" s="64"/>
      <c r="S3" s="64"/>
      <c r="T3" s="144"/>
      <c r="U3" s="104"/>
      <c r="V3" s="104"/>
      <c r="W3" s="104"/>
      <c r="X3" s="145"/>
    </row>
    <row r="4" spans="1:24" s="1" customFormat="1" ht="13.5" customHeight="1">
      <c r="A4" s="124"/>
      <c r="B4" s="113" t="s">
        <v>15</v>
      </c>
      <c r="C4" s="114"/>
      <c r="D4" s="115"/>
      <c r="N4" s="64"/>
      <c r="O4" s="64"/>
      <c r="P4" s="64"/>
      <c r="Q4" s="64"/>
      <c r="R4" s="64"/>
      <c r="S4" s="64"/>
      <c r="T4" s="104"/>
      <c r="U4" s="104"/>
      <c r="V4" s="104"/>
      <c r="W4" s="104"/>
      <c r="X4" s="104"/>
    </row>
    <row r="5" ht="5.25" customHeight="1"/>
    <row r="6" spans="1:30" s="30" customFormat="1" ht="19.5" customHeight="1">
      <c r="A6" s="130" t="s">
        <v>29</v>
      </c>
      <c r="B6" s="139" t="s">
        <v>166</v>
      </c>
      <c r="C6" s="128"/>
      <c r="D6" s="128"/>
      <c r="E6" s="128"/>
      <c r="F6" s="128"/>
      <c r="G6" s="128"/>
      <c r="H6" s="128"/>
      <c r="I6" s="128"/>
      <c r="J6" s="128"/>
      <c r="K6" s="128"/>
      <c r="L6" s="128"/>
      <c r="M6" s="128"/>
      <c r="N6" s="128"/>
      <c r="O6" s="128"/>
      <c r="P6" s="128"/>
      <c r="Q6" s="128" t="s">
        <v>167</v>
      </c>
      <c r="R6" s="128"/>
      <c r="S6" s="128"/>
      <c r="T6" s="128"/>
      <c r="U6" s="128"/>
      <c r="V6" s="128"/>
      <c r="W6" s="128"/>
      <c r="X6" s="128"/>
      <c r="Y6" s="128"/>
      <c r="Z6" s="128"/>
      <c r="AA6" s="128"/>
      <c r="AB6" s="128"/>
      <c r="AC6" s="128"/>
      <c r="AD6" s="140"/>
    </row>
    <row r="7" spans="1:30" s="30" customFormat="1" ht="19.5" customHeight="1">
      <c r="A7" s="131"/>
      <c r="B7" s="141" t="s">
        <v>28</v>
      </c>
      <c r="C7" s="137"/>
      <c r="D7" s="137"/>
      <c r="E7" s="137"/>
      <c r="F7" s="136"/>
      <c r="G7" s="135" t="s">
        <v>27</v>
      </c>
      <c r="H7" s="137"/>
      <c r="I7" s="137"/>
      <c r="J7" s="136"/>
      <c r="K7" s="135" t="s">
        <v>2</v>
      </c>
      <c r="L7" s="137"/>
      <c r="M7" s="137"/>
      <c r="N7" s="137"/>
      <c r="O7" s="137"/>
      <c r="P7" s="136"/>
      <c r="Q7" s="135" t="s">
        <v>7</v>
      </c>
      <c r="R7" s="137"/>
      <c r="S7" s="137"/>
      <c r="T7" s="137"/>
      <c r="U7" s="136"/>
      <c r="V7" s="135" t="s">
        <v>3</v>
      </c>
      <c r="W7" s="136"/>
      <c r="X7" s="135" t="s">
        <v>10</v>
      </c>
      <c r="Y7" s="136"/>
      <c r="Z7" s="5" t="s">
        <v>6</v>
      </c>
      <c r="AA7" s="135" t="s">
        <v>9</v>
      </c>
      <c r="AB7" s="137"/>
      <c r="AC7" s="137"/>
      <c r="AD7" s="138"/>
    </row>
    <row r="8" spans="1:30" s="30" customFormat="1" ht="19.5" customHeight="1">
      <c r="A8" s="132"/>
      <c r="B8" s="34" t="s">
        <v>31</v>
      </c>
      <c r="C8" s="34" t="s">
        <v>32</v>
      </c>
      <c r="D8" s="34" t="s">
        <v>33</v>
      </c>
      <c r="E8" s="34" t="s">
        <v>34</v>
      </c>
      <c r="F8" s="34" t="s">
        <v>35</v>
      </c>
      <c r="G8" s="9" t="s">
        <v>31</v>
      </c>
      <c r="H8" s="9" t="s">
        <v>34</v>
      </c>
      <c r="I8" s="9" t="s">
        <v>35</v>
      </c>
      <c r="J8" s="9" t="s">
        <v>36</v>
      </c>
      <c r="K8" s="9" t="s">
        <v>31</v>
      </c>
      <c r="L8" s="9" t="s">
        <v>37</v>
      </c>
      <c r="M8" s="9" t="s">
        <v>32</v>
      </c>
      <c r="N8" s="9" t="s">
        <v>34</v>
      </c>
      <c r="O8" s="9" t="s">
        <v>38</v>
      </c>
      <c r="P8" s="9" t="s">
        <v>36</v>
      </c>
      <c r="Q8" s="9" t="s">
        <v>31</v>
      </c>
      <c r="R8" s="9" t="s">
        <v>37</v>
      </c>
      <c r="S8" s="9" t="s">
        <v>32</v>
      </c>
      <c r="T8" s="9" t="s">
        <v>34</v>
      </c>
      <c r="U8" s="9" t="s">
        <v>38</v>
      </c>
      <c r="V8" s="9" t="s">
        <v>34</v>
      </c>
      <c r="W8" s="9" t="s">
        <v>39</v>
      </c>
      <c r="X8" s="9" t="s">
        <v>40</v>
      </c>
      <c r="Y8" s="9" t="s">
        <v>36</v>
      </c>
      <c r="Z8" s="9" t="s">
        <v>5</v>
      </c>
      <c r="AA8" s="9" t="s">
        <v>31</v>
      </c>
      <c r="AB8" s="9" t="s">
        <v>37</v>
      </c>
      <c r="AC8" s="9" t="s">
        <v>41</v>
      </c>
      <c r="AD8" s="40" t="s">
        <v>42</v>
      </c>
    </row>
    <row r="9" spans="1:30" s="2" customFormat="1" ht="41.25" customHeight="1">
      <c r="A9" s="16" t="s">
        <v>238</v>
      </c>
      <c r="B9" s="19" t="s">
        <v>51</v>
      </c>
      <c r="C9" s="19" t="s">
        <v>55</v>
      </c>
      <c r="D9" s="19" t="s">
        <v>72</v>
      </c>
      <c r="E9" s="19" t="s">
        <v>87</v>
      </c>
      <c r="F9" s="19" t="s">
        <v>95</v>
      </c>
      <c r="G9" s="7"/>
      <c r="H9" s="7"/>
      <c r="I9" s="7"/>
      <c r="J9" s="7"/>
      <c r="K9" s="7"/>
      <c r="L9" s="7"/>
      <c r="M9" s="7"/>
      <c r="N9" s="7"/>
      <c r="O9" s="7"/>
      <c r="P9" s="7"/>
      <c r="Q9" s="7" t="s">
        <v>129</v>
      </c>
      <c r="R9" s="7" t="s">
        <v>132</v>
      </c>
      <c r="S9" s="7" t="s">
        <v>135</v>
      </c>
      <c r="T9" s="7" t="s">
        <v>137</v>
      </c>
      <c r="U9" s="7" t="s">
        <v>142</v>
      </c>
      <c r="V9" s="7"/>
      <c r="W9" s="7"/>
      <c r="X9" s="7"/>
      <c r="Y9" s="7"/>
      <c r="Z9" s="3"/>
      <c r="AA9" s="37"/>
      <c r="AB9" s="37"/>
      <c r="AC9" s="37"/>
      <c r="AD9" s="74"/>
    </row>
    <row r="10" spans="1:30" s="2" customFormat="1" ht="50.25" customHeight="1">
      <c r="A10" s="16" t="s">
        <v>239</v>
      </c>
      <c r="B10" s="19" t="s">
        <v>47</v>
      </c>
      <c r="C10" s="19" t="s">
        <v>60</v>
      </c>
      <c r="D10" s="19" t="s">
        <v>67</v>
      </c>
      <c r="E10" s="19"/>
      <c r="F10" s="19" t="s">
        <v>91</v>
      </c>
      <c r="G10" s="7"/>
      <c r="H10" s="7"/>
      <c r="I10" s="7"/>
      <c r="J10" s="7"/>
      <c r="K10" s="7"/>
      <c r="L10" s="7"/>
      <c r="M10" s="7"/>
      <c r="N10" s="7"/>
      <c r="O10" s="7"/>
      <c r="P10" s="7"/>
      <c r="Q10" s="7"/>
      <c r="R10" s="7"/>
      <c r="S10" s="7"/>
      <c r="T10" s="7"/>
      <c r="U10" s="7"/>
      <c r="V10" s="7" t="s">
        <v>145</v>
      </c>
      <c r="W10" s="7" t="s">
        <v>151</v>
      </c>
      <c r="X10" s="7"/>
      <c r="Y10" s="7" t="s">
        <v>155</v>
      </c>
      <c r="Z10" s="3"/>
      <c r="AA10" s="37"/>
      <c r="AB10" s="37"/>
      <c r="AC10" s="37"/>
      <c r="AD10" s="74"/>
    </row>
    <row r="11" spans="1:30" s="2" customFormat="1" ht="39" customHeight="1">
      <c r="A11" s="10" t="s">
        <v>240</v>
      </c>
      <c r="B11" s="35"/>
      <c r="C11" s="35" t="s">
        <v>53</v>
      </c>
      <c r="D11" s="35" t="s">
        <v>65</v>
      </c>
      <c r="E11" s="35"/>
      <c r="F11" s="35"/>
      <c r="G11" s="13" t="s">
        <v>101</v>
      </c>
      <c r="H11" s="13"/>
      <c r="I11" s="13"/>
      <c r="J11" s="13" t="s">
        <v>109</v>
      </c>
      <c r="K11" s="13"/>
      <c r="L11" s="13"/>
      <c r="M11" s="13"/>
      <c r="N11" s="13"/>
      <c r="O11" s="13"/>
      <c r="P11" s="13"/>
      <c r="Q11" s="13"/>
      <c r="R11" s="13"/>
      <c r="S11" s="13"/>
      <c r="T11" s="13"/>
      <c r="U11" s="13"/>
      <c r="V11" s="13"/>
      <c r="W11" s="13"/>
      <c r="X11" s="13"/>
      <c r="Y11" s="13"/>
      <c r="Z11" s="4"/>
      <c r="AA11" s="36" t="s">
        <v>159</v>
      </c>
      <c r="AB11" s="36" t="s">
        <v>161</v>
      </c>
      <c r="AC11" s="36" t="s">
        <v>159</v>
      </c>
      <c r="AD11" s="75" t="s">
        <v>163</v>
      </c>
    </row>
    <row r="12" spans="1:30" s="2" customFormat="1" ht="255" customHeight="1">
      <c r="A12" s="16" t="s">
        <v>241</v>
      </c>
      <c r="B12" s="19" t="s">
        <v>52</v>
      </c>
      <c r="C12" s="19" t="s">
        <v>61</v>
      </c>
      <c r="D12" s="19" t="s">
        <v>66</v>
      </c>
      <c r="E12" s="19" t="s">
        <v>80</v>
      </c>
      <c r="F12" s="19" t="s">
        <v>96</v>
      </c>
      <c r="G12" s="7"/>
      <c r="H12" s="7"/>
      <c r="I12" s="7"/>
      <c r="J12" s="7"/>
      <c r="K12" s="7" t="s">
        <v>114</v>
      </c>
      <c r="L12" s="7" t="s">
        <v>118</v>
      </c>
      <c r="M12" s="7" t="s">
        <v>120</v>
      </c>
      <c r="N12" s="7" t="s">
        <v>124</v>
      </c>
      <c r="O12" s="7"/>
      <c r="P12" s="7"/>
      <c r="Q12" s="7" t="s">
        <v>130</v>
      </c>
      <c r="R12" s="7" t="s">
        <v>133</v>
      </c>
      <c r="S12" s="7" t="s">
        <v>228</v>
      </c>
      <c r="T12" s="7" t="s">
        <v>139</v>
      </c>
      <c r="U12" s="7" t="s">
        <v>144</v>
      </c>
      <c r="V12" s="7" t="s">
        <v>212</v>
      </c>
      <c r="W12" s="7" t="s">
        <v>154</v>
      </c>
      <c r="X12" s="7" t="s">
        <v>235</v>
      </c>
      <c r="Y12" s="7" t="s">
        <v>158</v>
      </c>
      <c r="Z12" s="3"/>
      <c r="AA12" s="37"/>
      <c r="AB12" s="37"/>
      <c r="AC12" s="37"/>
      <c r="AD12" s="74"/>
    </row>
    <row r="13" spans="1:30" s="2" customFormat="1" ht="49.5" customHeight="1">
      <c r="A13" s="16" t="s">
        <v>242</v>
      </c>
      <c r="B13" s="19"/>
      <c r="C13" s="19" t="s">
        <v>62</v>
      </c>
      <c r="D13" s="19" t="s">
        <v>70</v>
      </c>
      <c r="E13" s="19" t="s">
        <v>77</v>
      </c>
      <c r="F13" s="19" t="s">
        <v>92</v>
      </c>
      <c r="G13" s="7"/>
      <c r="H13" s="7"/>
      <c r="I13" s="7"/>
      <c r="J13" s="7"/>
      <c r="K13" s="7" t="s">
        <v>115</v>
      </c>
      <c r="L13" s="7" t="s">
        <v>117</v>
      </c>
      <c r="M13" s="7"/>
      <c r="N13" s="7" t="s">
        <v>123</v>
      </c>
      <c r="O13" s="7"/>
      <c r="P13" s="7"/>
      <c r="Q13" s="7" t="s">
        <v>127</v>
      </c>
      <c r="R13" s="7"/>
      <c r="S13" s="7"/>
      <c r="T13" s="7"/>
      <c r="U13" s="7" t="s">
        <v>140</v>
      </c>
      <c r="V13" s="7" t="s">
        <v>148</v>
      </c>
      <c r="W13" s="7" t="s">
        <v>152</v>
      </c>
      <c r="X13" s="7"/>
      <c r="Y13" s="7" t="s">
        <v>156</v>
      </c>
      <c r="Z13" s="3"/>
      <c r="AA13" s="37"/>
      <c r="AB13" s="37"/>
      <c r="AC13" s="37"/>
      <c r="AD13" s="74"/>
    </row>
    <row r="14" spans="1:30" s="2" customFormat="1" ht="79.5" customHeight="1">
      <c r="A14" s="16" t="s">
        <v>243</v>
      </c>
      <c r="B14" s="19" t="s">
        <v>49</v>
      </c>
      <c r="C14" s="19" t="s">
        <v>57</v>
      </c>
      <c r="D14" s="19" t="s">
        <v>74</v>
      </c>
      <c r="E14" s="19" t="s">
        <v>88</v>
      </c>
      <c r="F14" s="19" t="s">
        <v>93</v>
      </c>
      <c r="G14" s="7"/>
      <c r="H14" s="7"/>
      <c r="I14" s="7"/>
      <c r="J14" s="7"/>
      <c r="K14" s="7"/>
      <c r="L14" s="7"/>
      <c r="M14" s="7"/>
      <c r="N14" s="7"/>
      <c r="O14" s="7"/>
      <c r="P14" s="7"/>
      <c r="Q14" s="7"/>
      <c r="R14" s="7"/>
      <c r="S14" s="7"/>
      <c r="T14" s="7"/>
      <c r="U14" s="7"/>
      <c r="V14" s="7"/>
      <c r="W14" s="7"/>
      <c r="X14" s="7"/>
      <c r="Y14" s="7"/>
      <c r="Z14" s="3"/>
      <c r="AA14" s="37"/>
      <c r="AB14" s="37"/>
      <c r="AC14" s="37"/>
      <c r="AD14" s="74"/>
    </row>
    <row r="15" spans="1:30" s="2" customFormat="1" ht="56.25" customHeight="1">
      <c r="A15" s="16" t="s">
        <v>244</v>
      </c>
      <c r="B15" s="19" t="s">
        <v>46</v>
      </c>
      <c r="C15" s="19"/>
      <c r="D15" s="19" t="s">
        <v>69</v>
      </c>
      <c r="E15" s="19" t="s">
        <v>79</v>
      </c>
      <c r="F15" s="19" t="s">
        <v>99</v>
      </c>
      <c r="G15" s="7" t="s">
        <v>169</v>
      </c>
      <c r="H15" s="7" t="s">
        <v>105</v>
      </c>
      <c r="I15" s="7" t="s">
        <v>107</v>
      </c>
      <c r="J15" s="7" t="s">
        <v>112</v>
      </c>
      <c r="K15" s="7"/>
      <c r="L15" s="7"/>
      <c r="M15" s="7"/>
      <c r="N15" s="7"/>
      <c r="O15" s="7"/>
      <c r="P15" s="7"/>
      <c r="Q15" s="7"/>
      <c r="R15" s="7"/>
      <c r="S15" s="7"/>
      <c r="T15" s="7"/>
      <c r="U15" s="7"/>
      <c r="V15" s="7"/>
      <c r="W15" s="7"/>
      <c r="X15" s="7"/>
      <c r="Y15" s="7"/>
      <c r="Z15" s="3"/>
      <c r="AA15" s="37" t="s">
        <v>160</v>
      </c>
      <c r="AB15" s="37" t="s">
        <v>162</v>
      </c>
      <c r="AC15" s="37" t="s">
        <v>160</v>
      </c>
      <c r="AD15" s="74" t="s">
        <v>164</v>
      </c>
    </row>
    <row r="16" spans="1:30" s="2" customFormat="1" ht="80.25" customHeight="1">
      <c r="A16" s="16" t="s">
        <v>245</v>
      </c>
      <c r="B16" s="19" t="s">
        <v>48</v>
      </c>
      <c r="C16" s="19" t="s">
        <v>54</v>
      </c>
      <c r="D16" s="19" t="s">
        <v>73</v>
      </c>
      <c r="E16" s="19" t="s">
        <v>78</v>
      </c>
      <c r="F16" s="19" t="s">
        <v>100</v>
      </c>
      <c r="G16" s="7" t="s">
        <v>173</v>
      </c>
      <c r="H16" s="7"/>
      <c r="I16" s="7"/>
      <c r="J16" s="7" t="s">
        <v>111</v>
      </c>
      <c r="K16" s="7"/>
      <c r="L16" s="7"/>
      <c r="M16" s="7"/>
      <c r="N16" s="7"/>
      <c r="O16" s="7"/>
      <c r="P16" s="7"/>
      <c r="Q16" s="7"/>
      <c r="R16" s="7"/>
      <c r="S16" s="7"/>
      <c r="T16" s="7"/>
      <c r="U16" s="7"/>
      <c r="V16" s="7"/>
      <c r="W16" s="7"/>
      <c r="X16" s="7"/>
      <c r="Y16" s="7"/>
      <c r="Z16" s="3"/>
      <c r="AA16" s="37"/>
      <c r="AB16" s="37"/>
      <c r="AC16" s="37"/>
      <c r="AD16" s="74"/>
    </row>
    <row r="17" spans="1:30" s="2" customFormat="1" ht="213" customHeight="1">
      <c r="A17" s="16" t="s">
        <v>246</v>
      </c>
      <c r="B17" s="19" t="s">
        <v>45</v>
      </c>
      <c r="C17" s="19" t="s">
        <v>58</v>
      </c>
      <c r="D17" s="19" t="s">
        <v>68</v>
      </c>
      <c r="E17" s="19" t="s">
        <v>81</v>
      </c>
      <c r="F17" s="19" t="s">
        <v>174</v>
      </c>
      <c r="G17" s="7"/>
      <c r="H17" s="7"/>
      <c r="I17" s="7"/>
      <c r="J17" s="7"/>
      <c r="K17" s="7"/>
      <c r="L17" s="7"/>
      <c r="M17" s="7" t="s">
        <v>175</v>
      </c>
      <c r="N17" s="7"/>
      <c r="O17" s="7"/>
      <c r="P17" s="7"/>
      <c r="Q17" s="7"/>
      <c r="R17" s="7"/>
      <c r="S17" s="7"/>
      <c r="T17" s="7"/>
      <c r="U17" s="7"/>
      <c r="V17" s="7" t="s">
        <v>150</v>
      </c>
      <c r="W17" s="7"/>
      <c r="X17" s="7" t="s">
        <v>236</v>
      </c>
      <c r="Y17" s="7" t="s">
        <v>157</v>
      </c>
      <c r="Z17" s="3" t="s">
        <v>25</v>
      </c>
      <c r="AA17" s="37"/>
      <c r="AB17" s="37"/>
      <c r="AC17" s="37"/>
      <c r="AD17" s="74"/>
    </row>
    <row r="18" spans="1:30" s="2" customFormat="1" ht="65.25" customHeight="1">
      <c r="A18" s="16" t="s">
        <v>247</v>
      </c>
      <c r="B18" s="19" t="s">
        <v>194</v>
      </c>
      <c r="C18" s="19" t="s">
        <v>198</v>
      </c>
      <c r="D18" s="19" t="s">
        <v>202</v>
      </c>
      <c r="E18" s="19" t="s">
        <v>204</v>
      </c>
      <c r="F18" s="19" t="s">
        <v>207</v>
      </c>
      <c r="G18" s="7"/>
      <c r="H18" s="7"/>
      <c r="I18" s="7"/>
      <c r="J18" s="7"/>
      <c r="K18" s="7"/>
      <c r="L18" s="7"/>
      <c r="M18" s="7" t="s">
        <v>209</v>
      </c>
      <c r="N18" s="7"/>
      <c r="O18" s="7"/>
      <c r="P18" s="7"/>
      <c r="Q18" s="7" t="s">
        <v>224</v>
      </c>
      <c r="R18" s="7" t="s">
        <v>226</v>
      </c>
      <c r="S18" s="7" t="s">
        <v>229</v>
      </c>
      <c r="T18" s="7" t="s">
        <v>231</v>
      </c>
      <c r="U18" s="7" t="s">
        <v>233</v>
      </c>
      <c r="V18" s="7" t="s">
        <v>213</v>
      </c>
      <c r="W18" s="7"/>
      <c r="X18" s="7" t="s">
        <v>221</v>
      </c>
      <c r="Y18" s="7" t="s">
        <v>222</v>
      </c>
      <c r="Z18" s="3" t="s">
        <v>220</v>
      </c>
      <c r="AA18" s="37"/>
      <c r="AB18" s="37"/>
      <c r="AC18" s="37"/>
      <c r="AD18" s="74"/>
    </row>
    <row r="19" spans="1:30" s="2" customFormat="1" ht="221.25" customHeight="1">
      <c r="A19" s="16" t="s">
        <v>248</v>
      </c>
      <c r="B19" s="19" t="s">
        <v>50</v>
      </c>
      <c r="C19" s="19" t="s">
        <v>63</v>
      </c>
      <c r="D19" s="19" t="s">
        <v>75</v>
      </c>
      <c r="E19" s="19" t="s">
        <v>84</v>
      </c>
      <c r="F19" s="19" t="s">
        <v>94</v>
      </c>
      <c r="G19" s="7"/>
      <c r="H19" s="7"/>
      <c r="I19" s="7"/>
      <c r="J19" s="7"/>
      <c r="K19" s="7" t="s">
        <v>116</v>
      </c>
      <c r="L19" s="7" t="s">
        <v>119</v>
      </c>
      <c r="M19" s="7" t="s">
        <v>121</v>
      </c>
      <c r="N19" s="7" t="s">
        <v>122</v>
      </c>
      <c r="O19" s="7" t="s">
        <v>125</v>
      </c>
      <c r="P19" s="7" t="s">
        <v>126</v>
      </c>
      <c r="Q19" s="7" t="s">
        <v>176</v>
      </c>
      <c r="R19" s="7" t="s">
        <v>177</v>
      </c>
      <c r="S19" s="7" t="s">
        <v>178</v>
      </c>
      <c r="T19" s="7" t="s">
        <v>138</v>
      </c>
      <c r="U19" s="7" t="s">
        <v>143</v>
      </c>
      <c r="V19" s="7" t="s">
        <v>147</v>
      </c>
      <c r="W19" s="7"/>
      <c r="X19" s="7" t="s">
        <v>237</v>
      </c>
      <c r="Y19" s="7" t="s">
        <v>179</v>
      </c>
      <c r="Z19" s="3" t="s">
        <v>26</v>
      </c>
      <c r="AA19" s="37"/>
      <c r="AB19" s="37"/>
      <c r="AC19" s="37"/>
      <c r="AD19" s="74"/>
    </row>
    <row r="20" spans="1:30" s="2" customFormat="1" ht="87.75" customHeight="1">
      <c r="A20" s="16" t="s">
        <v>249</v>
      </c>
      <c r="B20" s="67" t="s">
        <v>192</v>
      </c>
      <c r="C20" s="19" t="s">
        <v>199</v>
      </c>
      <c r="D20" s="19" t="s">
        <v>200</v>
      </c>
      <c r="E20" s="19" t="s">
        <v>203</v>
      </c>
      <c r="F20" s="19" t="s">
        <v>208</v>
      </c>
      <c r="G20" s="7"/>
      <c r="H20" s="7"/>
      <c r="I20" s="7"/>
      <c r="J20" s="7"/>
      <c r="K20" s="7"/>
      <c r="L20" s="7"/>
      <c r="M20" s="7"/>
      <c r="N20" s="7"/>
      <c r="O20" s="7"/>
      <c r="P20" s="7"/>
      <c r="Q20" s="7"/>
      <c r="R20" s="7"/>
      <c r="S20" s="7"/>
      <c r="T20" s="7"/>
      <c r="U20" s="7"/>
      <c r="V20" s="7" t="s">
        <v>211</v>
      </c>
      <c r="W20" s="7"/>
      <c r="X20" s="7"/>
      <c r="Y20" s="7"/>
      <c r="Z20" s="3" t="s">
        <v>219</v>
      </c>
      <c r="AA20" s="37"/>
      <c r="AB20" s="37"/>
      <c r="AC20" s="37"/>
      <c r="AD20" s="74"/>
    </row>
    <row r="21" spans="1:30" s="2" customFormat="1" ht="47.25" customHeight="1">
      <c r="A21" s="16" t="s">
        <v>250</v>
      </c>
      <c r="B21" s="59" t="s">
        <v>180</v>
      </c>
      <c r="C21" s="19" t="s">
        <v>56</v>
      </c>
      <c r="D21" s="19" t="s">
        <v>181</v>
      </c>
      <c r="E21" s="19"/>
      <c r="F21" s="19"/>
      <c r="G21" s="7" t="s">
        <v>169</v>
      </c>
      <c r="H21" s="7" t="s">
        <v>104</v>
      </c>
      <c r="I21" s="7" t="s">
        <v>182</v>
      </c>
      <c r="J21" s="7" t="s">
        <v>183</v>
      </c>
      <c r="K21" s="7"/>
      <c r="L21" s="7"/>
      <c r="M21" s="7"/>
      <c r="N21" s="7"/>
      <c r="O21" s="7"/>
      <c r="P21" s="7"/>
      <c r="Q21" s="7"/>
      <c r="R21" s="7"/>
      <c r="S21" s="7"/>
      <c r="T21" s="7"/>
      <c r="U21" s="7"/>
      <c r="V21" s="7"/>
      <c r="W21" s="7"/>
      <c r="X21" s="7" t="s">
        <v>172</v>
      </c>
      <c r="Y21" s="7"/>
      <c r="Z21" s="3"/>
      <c r="AA21" s="37"/>
      <c r="AB21" s="37"/>
      <c r="AC21" s="37"/>
      <c r="AD21" s="74"/>
    </row>
    <row r="22" spans="1:30" s="2" customFormat="1" ht="35.25" customHeight="1">
      <c r="A22" s="16" t="s">
        <v>251</v>
      </c>
      <c r="B22" s="19" t="s">
        <v>184</v>
      </c>
      <c r="C22" s="19" t="s">
        <v>185</v>
      </c>
      <c r="D22" s="19"/>
      <c r="E22" s="19" t="s">
        <v>86</v>
      </c>
      <c r="F22" s="19" t="s">
        <v>186</v>
      </c>
      <c r="G22" s="20"/>
      <c r="H22" s="20"/>
      <c r="I22" s="20"/>
      <c r="J22" s="20"/>
      <c r="K22" s="7"/>
      <c r="L22" s="7"/>
      <c r="M22" s="7"/>
      <c r="N22" s="7"/>
      <c r="O22" s="7"/>
      <c r="P22" s="7"/>
      <c r="Q22" s="7"/>
      <c r="R22" s="7"/>
      <c r="S22" s="7"/>
      <c r="T22" s="7"/>
      <c r="U22" s="7"/>
      <c r="V22" s="7"/>
      <c r="W22" s="7"/>
      <c r="X22" s="7"/>
      <c r="Y22" s="7"/>
      <c r="Z22" s="3"/>
      <c r="AA22" s="37"/>
      <c r="AB22" s="37"/>
      <c r="AC22" s="37"/>
      <c r="AD22" s="74"/>
    </row>
    <row r="23" spans="1:30" s="2" customFormat="1" ht="48" customHeight="1">
      <c r="A23" s="16" t="s">
        <v>252</v>
      </c>
      <c r="B23" s="19"/>
      <c r="C23" s="19" t="s">
        <v>197</v>
      </c>
      <c r="D23" s="19" t="s">
        <v>76</v>
      </c>
      <c r="E23" s="19" t="s">
        <v>187</v>
      </c>
      <c r="F23" s="19" t="s">
        <v>89</v>
      </c>
      <c r="G23" s="7"/>
      <c r="H23" s="7"/>
      <c r="I23" s="7"/>
      <c r="J23" s="7"/>
      <c r="K23" s="7"/>
      <c r="L23" s="7"/>
      <c r="M23" s="7"/>
      <c r="N23" s="7"/>
      <c r="O23" s="7"/>
      <c r="P23" s="7"/>
      <c r="Q23" s="7"/>
      <c r="R23" s="7"/>
      <c r="S23" s="7"/>
      <c r="T23" s="7"/>
      <c r="U23" s="7"/>
      <c r="V23" s="7"/>
      <c r="W23" s="7"/>
      <c r="X23" s="7" t="s">
        <v>188</v>
      </c>
      <c r="Y23" s="7" t="s">
        <v>189</v>
      </c>
      <c r="Z23" s="3"/>
      <c r="AA23" s="37"/>
      <c r="AB23" s="37"/>
      <c r="AC23" s="37"/>
      <c r="AD23" s="74"/>
    </row>
    <row r="24" spans="1:30" s="2" customFormat="1" ht="119.25" customHeight="1">
      <c r="A24" s="16" t="s">
        <v>253</v>
      </c>
      <c r="B24" s="19" t="s">
        <v>215</v>
      </c>
      <c r="C24" s="19" t="s">
        <v>216</v>
      </c>
      <c r="D24" s="19" t="s">
        <v>190</v>
      </c>
      <c r="E24" s="19" t="s">
        <v>234</v>
      </c>
      <c r="F24" s="19" t="s">
        <v>217</v>
      </c>
      <c r="G24" s="7" t="s">
        <v>170</v>
      </c>
      <c r="H24" s="7" t="s">
        <v>106</v>
      </c>
      <c r="I24" s="7" t="s">
        <v>108</v>
      </c>
      <c r="J24" s="7" t="s">
        <v>113</v>
      </c>
      <c r="K24" s="7" t="s">
        <v>210</v>
      </c>
      <c r="L24" s="7" t="s">
        <v>210</v>
      </c>
      <c r="M24" s="7" t="s">
        <v>210</v>
      </c>
      <c r="N24" s="7" t="s">
        <v>210</v>
      </c>
      <c r="O24" s="7" t="s">
        <v>210</v>
      </c>
      <c r="P24" s="7" t="s">
        <v>210</v>
      </c>
      <c r="Q24" s="7"/>
      <c r="R24" s="7"/>
      <c r="S24" s="7"/>
      <c r="T24" s="7"/>
      <c r="U24" s="7"/>
      <c r="V24" s="7" t="s">
        <v>218</v>
      </c>
      <c r="W24" s="7" t="s">
        <v>153</v>
      </c>
      <c r="X24" s="7"/>
      <c r="Y24" s="7"/>
      <c r="Z24" s="3"/>
      <c r="AA24" s="37"/>
      <c r="AB24" s="37"/>
      <c r="AC24" s="37"/>
      <c r="AD24" s="74"/>
    </row>
    <row r="25" spans="1:30" s="2" customFormat="1" ht="65.25" customHeight="1">
      <c r="A25" s="66" t="s">
        <v>254</v>
      </c>
      <c r="B25" s="67" t="s">
        <v>195</v>
      </c>
      <c r="C25" s="67" t="s">
        <v>196</v>
      </c>
      <c r="D25" s="67" t="s">
        <v>201</v>
      </c>
      <c r="E25" s="67" t="s">
        <v>205</v>
      </c>
      <c r="F25" s="67" t="s">
        <v>206</v>
      </c>
      <c r="G25" s="68"/>
      <c r="H25" s="68"/>
      <c r="I25" s="68"/>
      <c r="J25" s="68"/>
      <c r="K25" s="68"/>
      <c r="L25" s="68"/>
      <c r="M25" s="68"/>
      <c r="N25" s="68"/>
      <c r="O25" s="68"/>
      <c r="P25" s="68"/>
      <c r="Q25" s="68"/>
      <c r="R25" s="68"/>
      <c r="S25" s="68"/>
      <c r="T25" s="68"/>
      <c r="U25" s="68"/>
      <c r="V25" s="68" t="s">
        <v>214</v>
      </c>
      <c r="W25" s="68"/>
      <c r="X25" s="68"/>
      <c r="Y25" s="68"/>
      <c r="Z25" s="54"/>
      <c r="AA25" s="69"/>
      <c r="AB25" s="69"/>
      <c r="AC25" s="69"/>
      <c r="AD25" s="76"/>
    </row>
    <row r="26" spans="1:30" s="2" customFormat="1" ht="81.75" customHeight="1">
      <c r="A26" s="16" t="s">
        <v>255</v>
      </c>
      <c r="B26" s="19"/>
      <c r="C26" s="19"/>
      <c r="D26" s="19" t="s">
        <v>191</v>
      </c>
      <c r="E26" s="19" t="s">
        <v>85</v>
      </c>
      <c r="F26" s="19" t="s">
        <v>90</v>
      </c>
      <c r="G26" s="7"/>
      <c r="H26" s="7"/>
      <c r="I26" s="7"/>
      <c r="J26" s="7"/>
      <c r="K26" s="7"/>
      <c r="L26" s="7"/>
      <c r="M26" s="7"/>
      <c r="N26" s="7"/>
      <c r="O26" s="7"/>
      <c r="P26" s="7"/>
      <c r="Q26" s="7" t="s">
        <v>223</v>
      </c>
      <c r="R26" s="7" t="s">
        <v>225</v>
      </c>
      <c r="S26" s="7" t="s">
        <v>227</v>
      </c>
      <c r="T26" s="7" t="s">
        <v>230</v>
      </c>
      <c r="U26" s="7" t="s">
        <v>232</v>
      </c>
      <c r="V26" s="7"/>
      <c r="W26" s="7"/>
      <c r="X26" s="7"/>
      <c r="Y26" s="7"/>
      <c r="Z26" s="3"/>
      <c r="AA26" s="37"/>
      <c r="AB26" s="37"/>
      <c r="AC26" s="37"/>
      <c r="AD26" s="74"/>
    </row>
    <row r="27" spans="1:30" s="2" customFormat="1" ht="145.5" customHeight="1">
      <c r="A27" s="16" t="s">
        <v>256</v>
      </c>
      <c r="B27" s="19" t="s">
        <v>44</v>
      </c>
      <c r="C27" s="19" t="s">
        <v>59</v>
      </c>
      <c r="D27" s="19" t="s">
        <v>71</v>
      </c>
      <c r="E27" s="19" t="s">
        <v>82</v>
      </c>
      <c r="F27" s="19" t="s">
        <v>97</v>
      </c>
      <c r="G27" s="7" t="s">
        <v>98</v>
      </c>
      <c r="H27" s="7" t="s">
        <v>103</v>
      </c>
      <c r="I27" s="7"/>
      <c r="J27" s="7" t="s">
        <v>110</v>
      </c>
      <c r="K27" s="7"/>
      <c r="L27" s="7"/>
      <c r="M27" s="7"/>
      <c r="N27" s="7"/>
      <c r="O27" s="7"/>
      <c r="P27" s="7"/>
      <c r="Q27" s="7" t="s">
        <v>128</v>
      </c>
      <c r="R27" s="7" t="s">
        <v>131</v>
      </c>
      <c r="S27" s="7" t="s">
        <v>134</v>
      </c>
      <c r="T27" s="7" t="s">
        <v>136</v>
      </c>
      <c r="U27" s="7" t="s">
        <v>141</v>
      </c>
      <c r="V27" s="7" t="s">
        <v>146</v>
      </c>
      <c r="W27" s="7"/>
      <c r="X27" s="7" t="s">
        <v>171</v>
      </c>
      <c r="Y27" s="7"/>
      <c r="Z27" s="3"/>
      <c r="AA27" s="37"/>
      <c r="AB27" s="37"/>
      <c r="AC27" s="37"/>
      <c r="AD27" s="74"/>
    </row>
    <row r="28" spans="1:30" s="2" customFormat="1" ht="37.5" customHeight="1">
      <c r="A28" s="23" t="s">
        <v>257</v>
      </c>
      <c r="B28" s="26" t="s">
        <v>192</v>
      </c>
      <c r="C28" s="26" t="s">
        <v>64</v>
      </c>
      <c r="D28" s="26"/>
      <c r="E28" s="26" t="s">
        <v>83</v>
      </c>
      <c r="F28" s="26"/>
      <c r="G28" s="27" t="s">
        <v>102</v>
      </c>
      <c r="H28" s="27"/>
      <c r="I28" s="27"/>
      <c r="J28" s="27"/>
      <c r="K28" s="27"/>
      <c r="L28" s="27"/>
      <c r="M28" s="27"/>
      <c r="N28" s="27"/>
      <c r="O28" s="27"/>
      <c r="P28" s="27"/>
      <c r="Q28" s="27"/>
      <c r="R28" s="27"/>
      <c r="S28" s="27"/>
      <c r="T28" s="27"/>
      <c r="U28" s="27"/>
      <c r="V28" s="27" t="s">
        <v>149</v>
      </c>
      <c r="W28" s="27"/>
      <c r="X28" s="27" t="s">
        <v>171</v>
      </c>
      <c r="Y28" s="27"/>
      <c r="Z28" s="6"/>
      <c r="AA28" s="38"/>
      <c r="AB28" s="38"/>
      <c r="AC28" s="38"/>
      <c r="AD28" s="77"/>
    </row>
  </sheetData>
  <sheetProtection/>
  <mergeCells count="17">
    <mergeCell ref="A2:A4"/>
    <mergeCell ref="B2:D2"/>
    <mergeCell ref="T2:X2"/>
    <mergeCell ref="B3:D3"/>
    <mergeCell ref="T3:X3"/>
    <mergeCell ref="B4:D4"/>
    <mergeCell ref="T4:X4"/>
    <mergeCell ref="X7:Y7"/>
    <mergeCell ref="AA7:AD7"/>
    <mergeCell ref="B6:P6"/>
    <mergeCell ref="Q6:AD6"/>
    <mergeCell ref="A6:A8"/>
    <mergeCell ref="B7:F7"/>
    <mergeCell ref="G7:J7"/>
    <mergeCell ref="K7:P7"/>
    <mergeCell ref="Q7:U7"/>
    <mergeCell ref="V7:W7"/>
  </mergeCells>
  <printOptions horizontalCentered="1"/>
  <pageMargins left="0.1968503937007874" right="0.1968503937007874" top="0.1968503937007874" bottom="0.1968503937007874" header="0.1968503937007874" footer="0.1968503937007874"/>
  <pageSetup fitToHeight="0" fitToWidth="1" horizontalDpi="600" verticalDpi="600" orientation="landscape" paperSize="8" scale="44" r:id="rId2"/>
  <headerFooter>
    <oddFooter>&amp;R3年　&amp;P/&amp;N</oddFooter>
  </headerFooter>
  <drawing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9" width="14.00390625" style="0" customWidth="1"/>
  </cols>
  <sheetData>
    <row r="1" ht="12.75">
      <c r="A1" s="88" t="s">
        <v>306</v>
      </c>
    </row>
    <row r="3" spans="1:9" ht="12.75">
      <c r="A3" s="89" t="s">
        <v>307</v>
      </c>
      <c r="B3" s="89"/>
      <c r="C3" s="89"/>
      <c r="D3" s="89"/>
      <c r="E3" s="89"/>
      <c r="F3" s="89"/>
      <c r="G3" s="89"/>
      <c r="H3" s="89"/>
      <c r="I3" s="89"/>
    </row>
    <row r="4" spans="1:9" ht="12.75">
      <c r="A4" s="89" t="s">
        <v>308</v>
      </c>
      <c r="B4" s="89"/>
      <c r="C4" s="90"/>
      <c r="D4" s="90"/>
      <c r="E4" s="89"/>
      <c r="F4" s="89"/>
      <c r="G4" s="89"/>
      <c r="H4" s="89"/>
      <c r="I4" s="89"/>
    </row>
    <row r="5" spans="1:9" ht="12.75">
      <c r="A5" s="89" t="s">
        <v>309</v>
      </c>
      <c r="B5" s="89"/>
      <c r="C5" s="89"/>
      <c r="D5" s="89"/>
      <c r="E5" s="89"/>
      <c r="F5" s="89"/>
      <c r="G5" s="89"/>
      <c r="H5" s="89"/>
      <c r="I5" s="89"/>
    </row>
    <row r="6" spans="1:9" ht="12.75">
      <c r="A6" s="89"/>
      <c r="B6" s="89"/>
      <c r="C6" s="89"/>
      <c r="D6" s="89"/>
      <c r="E6" s="89"/>
      <c r="F6" s="89"/>
      <c r="G6" s="89"/>
      <c r="H6" s="89"/>
      <c r="I6" s="89"/>
    </row>
    <row r="7" spans="1:9" ht="12.75">
      <c r="A7" s="89" t="s">
        <v>310</v>
      </c>
      <c r="B7" s="89"/>
      <c r="C7" s="89"/>
      <c r="D7" s="89"/>
      <c r="E7" s="89"/>
      <c r="F7" s="89"/>
      <c r="G7" s="89"/>
      <c r="H7" s="89"/>
      <c r="I7" s="89"/>
    </row>
    <row r="8" spans="1:9" ht="12.75">
      <c r="A8" s="89" t="s">
        <v>311</v>
      </c>
      <c r="B8" s="89"/>
      <c r="C8" s="89"/>
      <c r="D8" s="89"/>
      <c r="E8" s="89"/>
      <c r="F8" s="89"/>
      <c r="G8" s="89"/>
      <c r="H8" s="89"/>
      <c r="I8" s="89"/>
    </row>
    <row r="9" spans="1:9" ht="12.75">
      <c r="A9" s="89" t="s">
        <v>312</v>
      </c>
      <c r="B9" s="89"/>
      <c r="C9" s="89"/>
      <c r="D9" s="89"/>
      <c r="E9" s="89"/>
      <c r="F9" s="89"/>
      <c r="G9" s="89"/>
      <c r="H9" s="89"/>
      <c r="I9" s="89"/>
    </row>
    <row r="10" spans="1:9" ht="12.75">
      <c r="A10" s="89"/>
      <c r="B10" s="89"/>
      <c r="C10" s="89"/>
      <c r="D10" s="89"/>
      <c r="E10" s="89"/>
      <c r="F10" s="89"/>
      <c r="G10" s="89"/>
      <c r="H10" s="89"/>
      <c r="I10" s="89"/>
    </row>
    <row r="11" spans="1:9" ht="12.75">
      <c r="A11" s="91" t="s">
        <v>313</v>
      </c>
      <c r="B11" s="92" t="s">
        <v>314</v>
      </c>
      <c r="C11" s="91" t="s">
        <v>315</v>
      </c>
      <c r="D11" s="91" t="s">
        <v>316</v>
      </c>
      <c r="E11" s="93" t="s">
        <v>317</v>
      </c>
      <c r="F11" s="91" t="s">
        <v>318</v>
      </c>
      <c r="G11" s="92" t="s">
        <v>319</v>
      </c>
      <c r="H11" s="91" t="s">
        <v>320</v>
      </c>
      <c r="I11" s="91" t="s">
        <v>321</v>
      </c>
    </row>
    <row r="12" spans="1:9" ht="12.75">
      <c r="A12" s="94" t="s">
        <v>322</v>
      </c>
      <c r="B12" s="95" t="s">
        <v>323</v>
      </c>
      <c r="C12" s="94" t="s">
        <v>324</v>
      </c>
      <c r="D12" s="94" t="s">
        <v>324</v>
      </c>
      <c r="E12" s="96" t="s">
        <v>324</v>
      </c>
      <c r="F12" s="94" t="s">
        <v>325</v>
      </c>
      <c r="G12" s="95" t="s">
        <v>301</v>
      </c>
      <c r="H12" s="94" t="s">
        <v>324</v>
      </c>
      <c r="I12" s="94" t="s">
        <v>323</v>
      </c>
    </row>
    <row r="13" spans="1:9" ht="12.75">
      <c r="A13" s="94" t="s">
        <v>326</v>
      </c>
      <c r="B13" s="95" t="s">
        <v>325</v>
      </c>
      <c r="C13" s="94" t="s">
        <v>327</v>
      </c>
      <c r="D13" s="94" t="s">
        <v>327</v>
      </c>
      <c r="E13" s="96" t="s">
        <v>327</v>
      </c>
      <c r="F13" s="97" t="s">
        <v>328</v>
      </c>
      <c r="G13" s="98" t="s">
        <v>329</v>
      </c>
      <c r="H13" s="97" t="s">
        <v>301</v>
      </c>
      <c r="I13" s="94" t="s">
        <v>327</v>
      </c>
    </row>
    <row r="14" spans="1:9" ht="12.75">
      <c r="A14" s="94" t="s">
        <v>330</v>
      </c>
      <c r="B14" s="95" t="s">
        <v>331</v>
      </c>
      <c r="C14" s="94" t="s">
        <v>326</v>
      </c>
      <c r="D14" s="94" t="s">
        <v>326</v>
      </c>
      <c r="E14" s="96" t="s">
        <v>326</v>
      </c>
      <c r="F14" s="99"/>
      <c r="G14" s="99"/>
      <c r="H14" s="99"/>
      <c r="I14" s="94" t="s">
        <v>332</v>
      </c>
    </row>
    <row r="15" spans="1:9" ht="12.75">
      <c r="A15" s="94" t="s">
        <v>325</v>
      </c>
      <c r="B15" s="98" t="s">
        <v>259</v>
      </c>
      <c r="C15" s="94" t="s">
        <v>325</v>
      </c>
      <c r="D15" s="94" t="s">
        <v>325</v>
      </c>
      <c r="E15" s="96" t="s">
        <v>325</v>
      </c>
      <c r="F15" s="99"/>
      <c r="G15" s="99"/>
      <c r="H15" s="99"/>
      <c r="I15" s="97" t="s">
        <v>333</v>
      </c>
    </row>
    <row r="16" spans="1:9" ht="12.75">
      <c r="A16" s="97" t="s">
        <v>331</v>
      </c>
      <c r="B16" s="99"/>
      <c r="C16" s="94" t="s">
        <v>334</v>
      </c>
      <c r="D16" s="94" t="s">
        <v>331</v>
      </c>
      <c r="E16" s="100" t="s">
        <v>334</v>
      </c>
      <c r="F16" s="99"/>
      <c r="G16" s="99"/>
      <c r="H16" s="99"/>
      <c r="I16" s="99"/>
    </row>
    <row r="17" spans="1:9" ht="12.75">
      <c r="A17" s="99"/>
      <c r="B17" s="99"/>
      <c r="C17" s="97" t="s">
        <v>259</v>
      </c>
      <c r="D17" s="94" t="s">
        <v>334</v>
      </c>
      <c r="E17" s="99"/>
      <c r="F17" s="99"/>
      <c r="G17" s="99"/>
      <c r="H17" s="99"/>
      <c r="I17" s="99"/>
    </row>
    <row r="18" spans="1:9" ht="12.75">
      <c r="A18" s="99"/>
      <c r="B18" s="99"/>
      <c r="C18" s="99"/>
      <c r="D18" s="97" t="s">
        <v>329</v>
      </c>
      <c r="E18" s="99"/>
      <c r="F18" s="99"/>
      <c r="G18" s="99"/>
      <c r="H18" s="99"/>
      <c r="I18" s="99"/>
    </row>
    <row r="19" spans="1:9" ht="12.75">
      <c r="A19" s="89"/>
      <c r="B19" s="89"/>
      <c r="C19" s="89"/>
      <c r="D19" s="89"/>
      <c r="E19" s="89"/>
      <c r="F19" s="89"/>
      <c r="G19" s="89"/>
      <c r="H19" s="89"/>
      <c r="I19" s="89"/>
    </row>
    <row r="20" spans="1:9" ht="12.75">
      <c r="A20" s="89"/>
      <c r="B20" s="89"/>
      <c r="C20" s="89"/>
      <c r="D20" s="89"/>
      <c r="E20" s="89"/>
      <c r="F20" s="89"/>
      <c r="G20" s="89"/>
      <c r="H20" s="89"/>
      <c r="I20" s="89"/>
    </row>
    <row r="21" spans="1:9" ht="12.75">
      <c r="A21" s="89"/>
      <c r="B21" s="89"/>
      <c r="C21" s="89"/>
      <c r="D21" s="89"/>
      <c r="E21" s="89"/>
      <c r="F21" s="89"/>
      <c r="G21" s="89"/>
      <c r="H21" s="89"/>
      <c r="I21" s="89"/>
    </row>
    <row r="22" spans="1:9" ht="12.75">
      <c r="A22" s="89"/>
      <c r="B22" s="89"/>
      <c r="C22" s="89"/>
      <c r="D22" s="89"/>
      <c r="E22" s="89"/>
      <c r="F22" s="89"/>
      <c r="G22" s="89"/>
      <c r="H22" s="89"/>
      <c r="I22" s="89"/>
    </row>
    <row r="23" spans="1:9" ht="12.75">
      <c r="A23" s="89"/>
      <c r="B23" s="89"/>
      <c r="C23" s="89"/>
      <c r="D23" s="89"/>
      <c r="E23" s="89"/>
      <c r="F23" s="89"/>
      <c r="G23" s="89"/>
      <c r="H23" s="89"/>
      <c r="I23" s="89"/>
    </row>
    <row r="24" spans="1:9" ht="12.75">
      <c r="A24" s="89"/>
      <c r="B24" s="89"/>
      <c r="C24" s="89"/>
      <c r="D24" s="89"/>
      <c r="E24" s="89"/>
      <c r="F24" s="89"/>
      <c r="G24" s="89"/>
      <c r="H24" s="89"/>
      <c r="I24" s="89"/>
    </row>
    <row r="25" spans="1:9" ht="12.75">
      <c r="A25" s="89"/>
      <c r="B25" s="89"/>
      <c r="C25" s="89"/>
      <c r="D25" s="89"/>
      <c r="E25" s="89"/>
      <c r="F25" s="89"/>
      <c r="G25" s="89"/>
      <c r="H25" s="89"/>
      <c r="I25" s="89"/>
    </row>
    <row r="26" spans="1:9" ht="12.75">
      <c r="A26" s="89"/>
      <c r="B26" s="89"/>
      <c r="C26" s="89"/>
      <c r="D26" s="89"/>
      <c r="E26" s="89"/>
      <c r="F26" s="89"/>
      <c r="G26" s="89"/>
      <c r="H26" s="89"/>
      <c r="I26" s="89"/>
    </row>
    <row r="27" spans="1:9" ht="12.75">
      <c r="A27" s="89"/>
      <c r="B27" s="89"/>
      <c r="C27" s="89"/>
      <c r="D27" s="89"/>
      <c r="E27" s="89"/>
      <c r="F27" s="89"/>
      <c r="G27" s="89"/>
      <c r="H27" s="89"/>
      <c r="I27" s="89"/>
    </row>
    <row r="28" spans="1:9" ht="12.75">
      <c r="A28" s="89"/>
      <c r="B28" s="89"/>
      <c r="C28" s="89"/>
      <c r="D28" s="89"/>
      <c r="E28" s="89"/>
      <c r="F28" s="89"/>
      <c r="G28" s="89"/>
      <c r="H28" s="89"/>
      <c r="I28" s="89"/>
    </row>
    <row r="29" spans="1:9" ht="12.75">
      <c r="A29" s="89"/>
      <c r="B29" s="89"/>
      <c r="C29" s="89"/>
      <c r="D29" s="89"/>
      <c r="E29" s="89"/>
      <c r="F29" s="89"/>
      <c r="G29" s="89"/>
      <c r="H29" s="89"/>
      <c r="I29" s="89"/>
    </row>
    <row r="30" spans="1:9" ht="12.75">
      <c r="A30" s="89"/>
      <c r="B30" s="89"/>
      <c r="C30" s="89"/>
      <c r="D30" s="89"/>
      <c r="E30" s="89"/>
      <c r="F30" s="89"/>
      <c r="G30" s="89"/>
      <c r="H30" s="89"/>
      <c r="I30" s="89"/>
    </row>
    <row r="31" spans="1:9" ht="12.75">
      <c r="A31" s="89"/>
      <c r="B31" s="89"/>
      <c r="C31" s="89"/>
      <c r="D31" s="89"/>
      <c r="E31" s="89"/>
      <c r="F31" s="89"/>
      <c r="G31" s="89"/>
      <c r="H31" s="89"/>
      <c r="I31" s="89"/>
    </row>
    <row r="32" spans="1:9" ht="12.75">
      <c r="A32" s="89"/>
      <c r="B32" s="89"/>
      <c r="C32" s="89"/>
      <c r="D32" s="89"/>
      <c r="E32" s="89"/>
      <c r="F32" s="89"/>
      <c r="G32" s="89"/>
      <c r="H32" s="89"/>
      <c r="I32" s="89"/>
    </row>
    <row r="33" spans="1:9" ht="12.75">
      <c r="A33" s="89"/>
      <c r="B33" s="89"/>
      <c r="C33" s="89"/>
      <c r="D33" s="89"/>
      <c r="E33" s="89"/>
      <c r="F33" s="89"/>
      <c r="G33" s="89"/>
      <c r="H33" s="89"/>
      <c r="I33" s="89"/>
    </row>
    <row r="34" spans="1:9" ht="12.75">
      <c r="A34" s="89"/>
      <c r="B34" s="89"/>
      <c r="C34" s="89"/>
      <c r="D34" s="89"/>
      <c r="E34" s="89"/>
      <c r="F34" s="89"/>
      <c r="G34" s="89"/>
      <c r="H34" s="89"/>
      <c r="I34" s="89"/>
    </row>
    <row r="35" spans="1:9" ht="12.75">
      <c r="A35" s="89"/>
      <c r="B35" s="89"/>
      <c r="C35" s="89"/>
      <c r="D35" s="89"/>
      <c r="E35" s="89"/>
      <c r="F35" s="89"/>
      <c r="G35" s="89"/>
      <c r="H35" s="89"/>
      <c r="I35" s="89"/>
    </row>
    <row r="36" spans="1:9" ht="12.75">
      <c r="A36" s="89"/>
      <c r="B36" s="89"/>
      <c r="C36" s="89"/>
      <c r="D36" s="89"/>
      <c r="E36" s="89"/>
      <c r="F36" s="89"/>
      <c r="G36" s="89"/>
      <c r="H36" s="89"/>
      <c r="I36" s="89"/>
    </row>
    <row r="37" spans="1:9" ht="12.75">
      <c r="A37" s="89"/>
      <c r="B37" s="89"/>
      <c r="C37" s="89"/>
      <c r="D37" s="89"/>
      <c r="E37" s="89"/>
      <c r="F37" s="89"/>
      <c r="G37" s="89"/>
      <c r="H37" s="89"/>
      <c r="I37" s="89"/>
    </row>
    <row r="38" spans="1:9" ht="12.75">
      <c r="A38" s="89"/>
      <c r="B38" s="89"/>
      <c r="C38" s="89"/>
      <c r="D38" s="89"/>
      <c r="E38" s="89"/>
      <c r="F38" s="89"/>
      <c r="G38" s="89"/>
      <c r="H38" s="89"/>
      <c r="I38" s="89"/>
    </row>
    <row r="39" spans="1:9" ht="12.75">
      <c r="A39" s="89"/>
      <c r="B39" s="89"/>
      <c r="C39" s="89"/>
      <c r="D39" s="89"/>
      <c r="E39" s="89"/>
      <c r="F39" s="89"/>
      <c r="G39" s="89"/>
      <c r="H39" s="89"/>
      <c r="I39" s="89"/>
    </row>
    <row r="40" spans="1:9" ht="12.75">
      <c r="A40" s="89"/>
      <c r="B40" s="89"/>
      <c r="C40" s="89"/>
      <c r="D40" s="89"/>
      <c r="E40" s="89"/>
      <c r="F40" s="89"/>
      <c r="G40" s="89"/>
      <c r="H40" s="89"/>
      <c r="I40" s="89"/>
    </row>
    <row r="41" spans="1:9" ht="12.75">
      <c r="A41" s="89"/>
      <c r="B41" s="89"/>
      <c r="C41" s="89"/>
      <c r="D41" s="89"/>
      <c r="E41" s="89"/>
      <c r="F41" s="89"/>
      <c r="G41" s="89"/>
      <c r="H41" s="89"/>
      <c r="I41" s="89"/>
    </row>
    <row r="42" spans="1:9" ht="12.75">
      <c r="A42" s="89"/>
      <c r="B42" s="89"/>
      <c r="C42" s="89"/>
      <c r="D42" s="89"/>
      <c r="E42" s="89"/>
      <c r="F42" s="89"/>
      <c r="G42" s="89"/>
      <c r="H42" s="89"/>
      <c r="I42" s="89"/>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2017-07-27T02:47:53Z</cp:lastPrinted>
  <dcterms:created xsi:type="dcterms:W3CDTF">2012-09-21T00:30:40Z</dcterms:created>
  <dcterms:modified xsi:type="dcterms:W3CDTF">2017-09-27T07:05:03Z</dcterms:modified>
  <cp:category/>
  <cp:version/>
  <cp:contentType/>
  <cp:contentStatus/>
</cp:coreProperties>
</file>